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обрынина\Documents\Программа развития образования 2020-25\2023\изменение в программу август 2023\для размещения август\"/>
    </mc:Choice>
  </mc:AlternateContent>
  <bookViews>
    <workbookView xWindow="-120" yWindow="-120" windowWidth="29040" windowHeight="15840" activeTab="3"/>
  </bookViews>
  <sheets>
    <sheet name="1" sheetId="1" r:id="rId1"/>
    <sheet name="2" sheetId="2" r:id="rId2"/>
    <sheet name="3" sheetId="5" r:id="rId3"/>
    <sheet name="4" sheetId="4" r:id="rId4"/>
    <sheet name="5" sheetId="3" r:id="rId5"/>
  </sheets>
  <definedNames>
    <definedName name="_xlnm.Print_Area" localSheetId="0">'1'!$A$1:$J$34</definedName>
    <definedName name="_xlnm.Print_Area" localSheetId="2">'3'!$A$1:$N$20</definedName>
    <definedName name="_xlnm.Print_Area" localSheetId="4">'5'!$A$1:$J$378</definedName>
  </definedNames>
  <calcPr calcId="162913"/>
</workbook>
</file>

<file path=xl/calcChain.xml><?xml version="1.0" encoding="utf-8"?>
<calcChain xmlns="http://schemas.openxmlformats.org/spreadsheetml/2006/main">
  <c r="G96" i="3" l="1"/>
  <c r="G131" i="3" l="1"/>
  <c r="G41" i="3"/>
  <c r="G132" i="3" l="1"/>
  <c r="K58" i="4" l="1"/>
  <c r="K36" i="4"/>
  <c r="K45" i="4"/>
  <c r="G302" i="3"/>
  <c r="G262" i="3"/>
  <c r="G299" i="3" l="1"/>
  <c r="G177" i="3" l="1"/>
  <c r="G97" i="3"/>
  <c r="G87" i="3"/>
  <c r="G72" i="3"/>
  <c r="H232" i="3" l="1"/>
  <c r="H162" i="3"/>
  <c r="H132" i="3"/>
  <c r="H52" i="3"/>
  <c r="H42" i="3"/>
  <c r="K83" i="4" l="1"/>
  <c r="G347" i="3"/>
  <c r="G92" i="3"/>
  <c r="G42" i="3" l="1"/>
  <c r="I20" i="5" l="1"/>
  <c r="I131" i="3" l="1"/>
  <c r="H131" i="3"/>
  <c r="G126" i="3" l="1"/>
  <c r="G121" i="3" s="1"/>
  <c r="G127" i="3"/>
  <c r="G206" i="3"/>
  <c r="G204" i="3"/>
  <c r="G152" i="3" l="1"/>
  <c r="G122" i="3" s="1"/>
  <c r="K72" i="4"/>
  <c r="G342" i="3"/>
  <c r="G162" i="3" l="1"/>
  <c r="G67" i="3"/>
  <c r="J18" i="5" l="1"/>
  <c r="K18" i="5"/>
  <c r="M18" i="5"/>
  <c r="N18" i="5"/>
  <c r="I18" i="5"/>
  <c r="J17" i="5"/>
  <c r="K17" i="5"/>
  <c r="N17" i="5"/>
  <c r="I17" i="5"/>
  <c r="N16" i="5"/>
  <c r="K16" i="5"/>
  <c r="J16" i="5"/>
  <c r="I16" i="5"/>
  <c r="J20" i="4" l="1"/>
  <c r="I20" i="4"/>
  <c r="H20" i="4"/>
  <c r="M20" i="4"/>
  <c r="I30" i="4"/>
  <c r="J30" i="4"/>
  <c r="K30" i="4"/>
  <c r="N30" i="4" s="1"/>
  <c r="L30" i="4"/>
  <c r="M30" i="4"/>
  <c r="H30" i="4"/>
  <c r="H48" i="3" l="1"/>
  <c r="I48" i="3"/>
  <c r="J48" i="3"/>
  <c r="H47" i="3"/>
  <c r="I47" i="3"/>
  <c r="H46" i="3"/>
  <c r="I46" i="3"/>
  <c r="J46" i="3"/>
  <c r="H45" i="3"/>
  <c r="I45" i="3"/>
  <c r="J45" i="3"/>
  <c r="I44" i="3"/>
  <c r="G48" i="3"/>
  <c r="G46" i="3"/>
  <c r="G45" i="3"/>
  <c r="G47" i="3"/>
  <c r="J98" i="3"/>
  <c r="J97" i="3"/>
  <c r="J96" i="3"/>
  <c r="J95" i="3"/>
  <c r="I94" i="3"/>
  <c r="H94" i="3"/>
  <c r="G94" i="3"/>
  <c r="F94" i="3"/>
  <c r="E94" i="3"/>
  <c r="J94" i="3" l="1"/>
  <c r="K49" i="4"/>
  <c r="K78" i="4"/>
  <c r="G357" i="3" l="1"/>
  <c r="M77" i="4" l="1"/>
  <c r="I332" i="3"/>
  <c r="I329" i="3"/>
  <c r="H334" i="3"/>
  <c r="I334" i="3"/>
  <c r="H332" i="3"/>
  <c r="H227" i="3" l="1"/>
  <c r="H224" i="3" s="1"/>
  <c r="H226" i="3"/>
  <c r="J243" i="3" l="1"/>
  <c r="J242" i="3"/>
  <c r="J241" i="3"/>
  <c r="J240" i="3"/>
  <c r="I239" i="3"/>
  <c r="H239" i="3"/>
  <c r="G239" i="3"/>
  <c r="F239" i="3"/>
  <c r="E239" i="3"/>
  <c r="D239" i="3"/>
  <c r="F238" i="3"/>
  <c r="J238" i="3" s="1"/>
  <c r="G237" i="3"/>
  <c r="F237" i="3"/>
  <c r="I236" i="3"/>
  <c r="H236" i="3"/>
  <c r="H234" i="3" s="1"/>
  <c r="G236" i="3"/>
  <c r="G234" i="3" s="1"/>
  <c r="F236" i="3"/>
  <c r="F234" i="3" s="1"/>
  <c r="E236" i="3"/>
  <c r="F235" i="3"/>
  <c r="I234" i="3"/>
  <c r="D234" i="3"/>
  <c r="J239" i="3" l="1"/>
  <c r="J236" i="3"/>
  <c r="E237" i="3"/>
  <c r="J237" i="3" l="1"/>
  <c r="J234" i="3" s="1"/>
  <c r="E234" i="3"/>
  <c r="D205" i="3" l="1"/>
  <c r="E205" i="3"/>
  <c r="G205" i="3"/>
  <c r="H205" i="3"/>
  <c r="I205" i="3"/>
  <c r="D206" i="3"/>
  <c r="H206" i="3"/>
  <c r="I206" i="3"/>
  <c r="D207" i="3"/>
  <c r="F207" i="3"/>
  <c r="G207" i="3"/>
  <c r="H207" i="3"/>
  <c r="I207" i="3"/>
  <c r="D208" i="3"/>
  <c r="E208" i="3"/>
  <c r="F208" i="3"/>
  <c r="G208" i="3"/>
  <c r="H208" i="3"/>
  <c r="I208" i="3"/>
  <c r="I141" i="3"/>
  <c r="J208" i="3" l="1"/>
  <c r="H204" i="3"/>
  <c r="D204" i="3"/>
  <c r="I204" i="3"/>
  <c r="J207" i="3"/>
  <c r="J303" i="3"/>
  <c r="F376" i="3" l="1"/>
  <c r="F146" i="3" l="1"/>
  <c r="F191" i="3"/>
  <c r="F132" i="3" l="1"/>
  <c r="J78" i="4" l="1"/>
  <c r="J69" i="4"/>
  <c r="F347" i="3"/>
  <c r="F342" i="3"/>
  <c r="F211" i="3"/>
  <c r="F206" i="3" s="1"/>
  <c r="F161" i="3" l="1"/>
  <c r="F151" i="3" s="1"/>
  <c r="F42" i="3"/>
  <c r="J54" i="4" l="1"/>
  <c r="K54" i="4"/>
  <c r="L54" i="4"/>
  <c r="M54" i="4"/>
  <c r="H54" i="4"/>
  <c r="J72" i="4" l="1"/>
  <c r="F317" i="3"/>
  <c r="F67" i="3"/>
  <c r="F87" i="3"/>
  <c r="F172" i="3"/>
  <c r="J84" i="4"/>
  <c r="J203" i="3"/>
  <c r="J202" i="3"/>
  <c r="J201" i="3"/>
  <c r="J200" i="3"/>
  <c r="J196" i="3"/>
  <c r="E199" i="3"/>
  <c r="F199" i="3"/>
  <c r="G199" i="3"/>
  <c r="H199" i="3"/>
  <c r="I199" i="3"/>
  <c r="D199" i="3"/>
  <c r="N46" i="4"/>
  <c r="J199" i="3" l="1"/>
  <c r="I65" i="4"/>
  <c r="J65" i="4"/>
  <c r="K65" i="4"/>
  <c r="L65" i="4"/>
  <c r="H65" i="4"/>
  <c r="I63" i="4"/>
  <c r="J63" i="4"/>
  <c r="K63" i="4"/>
  <c r="L63" i="4"/>
  <c r="H63" i="4"/>
  <c r="J62" i="4"/>
  <c r="K62" i="4"/>
  <c r="L62" i="4"/>
  <c r="H62" i="4"/>
  <c r="K60" i="4"/>
  <c r="L60" i="4"/>
  <c r="H60" i="4"/>
  <c r="K59" i="4"/>
  <c r="L59" i="4"/>
  <c r="H59" i="4"/>
  <c r="I56" i="4"/>
  <c r="J56" i="4"/>
  <c r="K56" i="4"/>
  <c r="L56" i="4"/>
  <c r="H56" i="4"/>
  <c r="J48" i="4"/>
  <c r="K48" i="4"/>
  <c r="L48" i="4"/>
  <c r="J40" i="4"/>
  <c r="K40" i="4"/>
  <c r="L40" i="4"/>
  <c r="I40" i="4"/>
  <c r="K39" i="4"/>
  <c r="L39" i="4"/>
  <c r="L38" i="4"/>
  <c r="J28" i="4"/>
  <c r="K28" i="4"/>
  <c r="L28" i="4"/>
  <c r="K27" i="4"/>
  <c r="L27" i="4"/>
  <c r="K25" i="4"/>
  <c r="L25" i="4"/>
  <c r="L19" i="4"/>
  <c r="M16" i="5" s="1"/>
  <c r="K19" i="4"/>
  <c r="L16" i="5" s="1"/>
  <c r="J19" i="4"/>
  <c r="F106" i="3" l="1"/>
  <c r="H47" i="4" l="1"/>
  <c r="N49" i="4"/>
  <c r="J223" i="3"/>
  <c r="J222" i="3"/>
  <c r="J221" i="3"/>
  <c r="J220" i="3"/>
  <c r="I219" i="3"/>
  <c r="H219" i="3"/>
  <c r="G219" i="3"/>
  <c r="F219" i="3"/>
  <c r="D219" i="3"/>
  <c r="J219" i="3" l="1"/>
  <c r="E219" i="3"/>
  <c r="M65" i="4"/>
  <c r="M60" i="4"/>
  <c r="M40" i="4"/>
  <c r="M39" i="4"/>
  <c r="M28" i="4"/>
  <c r="F357" i="3" l="1"/>
  <c r="F287" i="3"/>
  <c r="J59" i="4" s="1"/>
  <c r="F292" i="3"/>
  <c r="J60" i="4" s="1"/>
  <c r="F262" i="3"/>
  <c r="F192" i="3"/>
  <c r="F162" i="3"/>
  <c r="F177" i="3"/>
  <c r="F167" i="3"/>
  <c r="J39" i="4" s="1"/>
  <c r="F92" i="3"/>
  <c r="J38" i="4" l="1"/>
  <c r="F209" i="3"/>
  <c r="F82" i="3"/>
  <c r="J27" i="4" s="1"/>
  <c r="H20" i="5" l="1"/>
  <c r="M90" i="4"/>
  <c r="M89" i="4" s="1"/>
  <c r="M88" i="4"/>
  <c r="M68" i="4"/>
  <c r="M58" i="4"/>
  <c r="M53" i="4"/>
  <c r="M51" i="4" s="1"/>
  <c r="M48" i="4"/>
  <c r="M47" i="4" s="1"/>
  <c r="M44" i="4"/>
  <c r="M43" i="4"/>
  <c r="M41" i="4"/>
  <c r="M38" i="4"/>
  <c r="M34" i="4"/>
  <c r="M33" i="4" s="1"/>
  <c r="M29" i="4"/>
  <c r="M21" i="4"/>
  <c r="M19" i="4"/>
  <c r="M18" i="4" s="1"/>
  <c r="N87" i="4"/>
  <c r="N86" i="4"/>
  <c r="N85" i="4"/>
  <c r="N82" i="4"/>
  <c r="N81" i="4"/>
  <c r="N80" i="4"/>
  <c r="N79" i="4"/>
  <c r="N74" i="4"/>
  <c r="N73" i="4"/>
  <c r="N72" i="4"/>
  <c r="N71" i="4"/>
  <c r="N70" i="4"/>
  <c r="N61" i="4"/>
  <c r="N57" i="4"/>
  <c r="N55" i="4"/>
  <c r="N42" i="4"/>
  <c r="N37" i="4"/>
  <c r="N35" i="4"/>
  <c r="N26" i="4"/>
  <c r="N23" i="4"/>
  <c r="I374" i="3"/>
  <c r="I369" i="3" s="1"/>
  <c r="I373" i="3"/>
  <c r="I372" i="3"/>
  <c r="I371" i="3"/>
  <c r="I370" i="3"/>
  <c r="I364" i="3"/>
  <c r="I359" i="3" s="1"/>
  <c r="I363" i="3"/>
  <c r="I362" i="3"/>
  <c r="I361" i="3"/>
  <c r="I360" i="3"/>
  <c r="I354" i="3"/>
  <c r="I349" i="3"/>
  <c r="I344" i="3"/>
  <c r="I339" i="3"/>
  <c r="I338" i="3"/>
  <c r="I337" i="3"/>
  <c r="I336" i="3"/>
  <c r="I335" i="3"/>
  <c r="I314" i="3"/>
  <c r="I309" i="3"/>
  <c r="I304" i="3"/>
  <c r="I294" i="3"/>
  <c r="I289" i="3"/>
  <c r="I284" i="3"/>
  <c r="I283" i="3"/>
  <c r="I248" i="3" s="1"/>
  <c r="I282" i="3"/>
  <c r="I281" i="3"/>
  <c r="I280" i="3"/>
  <c r="I274" i="3"/>
  <c r="I269" i="3"/>
  <c r="I264" i="3"/>
  <c r="I259" i="3"/>
  <c r="I254" i="3"/>
  <c r="I253" i="3"/>
  <c r="I252" i="3"/>
  <c r="I251" i="3"/>
  <c r="I250" i="3"/>
  <c r="I229" i="3"/>
  <c r="I226" i="3"/>
  <c r="I224" i="3" s="1"/>
  <c r="I214" i="3"/>
  <c r="I209" i="3"/>
  <c r="I194" i="3"/>
  <c r="I189" i="3"/>
  <c r="I184" i="3"/>
  <c r="I179" i="3"/>
  <c r="I174" i="3"/>
  <c r="I169" i="3"/>
  <c r="I164" i="3"/>
  <c r="I159" i="3"/>
  <c r="I154" i="3"/>
  <c r="I153" i="3"/>
  <c r="I152" i="3"/>
  <c r="I151" i="3"/>
  <c r="I150" i="3"/>
  <c r="I144" i="3"/>
  <c r="I126" i="3"/>
  <c r="I139" i="3"/>
  <c r="I134" i="3"/>
  <c r="I129" i="3"/>
  <c r="I128" i="3"/>
  <c r="I127" i="3"/>
  <c r="I125" i="3"/>
  <c r="I113" i="3"/>
  <c r="I112" i="3"/>
  <c r="M31" i="4" s="1"/>
  <c r="I111" i="3"/>
  <c r="I110" i="3"/>
  <c r="I109" i="3"/>
  <c r="I104" i="3"/>
  <c r="I99" i="3" s="1"/>
  <c r="I103" i="3"/>
  <c r="I102" i="3"/>
  <c r="I101" i="3"/>
  <c r="I100" i="3"/>
  <c r="I89" i="3"/>
  <c r="I84" i="3"/>
  <c r="I79" i="3"/>
  <c r="M27" i="4" s="1"/>
  <c r="I74" i="3"/>
  <c r="I69" i="3"/>
  <c r="M25" i="4" s="1"/>
  <c r="I64" i="3"/>
  <c r="M24" i="4" s="1"/>
  <c r="I59" i="3"/>
  <c r="I54" i="3"/>
  <c r="I49" i="3"/>
  <c r="I39" i="3"/>
  <c r="I34" i="3" s="1"/>
  <c r="I38" i="3"/>
  <c r="I37" i="3"/>
  <c r="I36" i="3"/>
  <c r="I35" i="3"/>
  <c r="J311" i="3"/>
  <c r="J266" i="3"/>
  <c r="J186" i="3"/>
  <c r="J310" i="3"/>
  <c r="J265" i="3"/>
  <c r="J215" i="3"/>
  <c r="J185" i="3"/>
  <c r="J165" i="3"/>
  <c r="J145" i="3"/>
  <c r="J140" i="3"/>
  <c r="J80" i="3"/>
  <c r="J60" i="3"/>
  <c r="J378" i="3"/>
  <c r="J373" i="3" s="1"/>
  <c r="J377" i="3"/>
  <c r="J372" i="3" s="1"/>
  <c r="J375" i="3"/>
  <c r="J370" i="3" s="1"/>
  <c r="J368" i="3"/>
  <c r="J363" i="3" s="1"/>
  <c r="J367" i="3"/>
  <c r="J362" i="3" s="1"/>
  <c r="J366" i="3"/>
  <c r="J361" i="3" s="1"/>
  <c r="J365" i="3"/>
  <c r="J358" i="3"/>
  <c r="J356" i="3"/>
  <c r="J355" i="3"/>
  <c r="J353" i="3"/>
  <c r="J352" i="3"/>
  <c r="J351" i="3"/>
  <c r="J350" i="3"/>
  <c r="J348" i="3"/>
  <c r="J346" i="3"/>
  <c r="J345" i="3"/>
  <c r="J343" i="3"/>
  <c r="J328" i="3"/>
  <c r="J327" i="3"/>
  <c r="J326" i="3"/>
  <c r="J325" i="3"/>
  <c r="J323" i="3"/>
  <c r="J322" i="3"/>
  <c r="J321" i="3"/>
  <c r="J320" i="3"/>
  <c r="J317" i="3"/>
  <c r="J313" i="3"/>
  <c r="J308" i="3"/>
  <c r="J307" i="3"/>
  <c r="J306" i="3"/>
  <c r="J305" i="3"/>
  <c r="J301" i="3"/>
  <c r="J300" i="3"/>
  <c r="J298" i="3"/>
  <c r="J297" i="3"/>
  <c r="J296" i="3"/>
  <c r="J295" i="3"/>
  <c r="J293" i="3"/>
  <c r="J291" i="3"/>
  <c r="J290" i="3"/>
  <c r="J288" i="3"/>
  <c r="J286" i="3"/>
  <c r="J278" i="3"/>
  <c r="J277" i="3"/>
  <c r="J275" i="3"/>
  <c r="J273" i="3"/>
  <c r="J272" i="3"/>
  <c r="J271" i="3"/>
  <c r="J270" i="3"/>
  <c r="J268" i="3"/>
  <c r="J267" i="3"/>
  <c r="J263" i="3"/>
  <c r="J261" i="3"/>
  <c r="J260" i="3"/>
  <c r="J258" i="3"/>
  <c r="J256" i="3"/>
  <c r="J255" i="3"/>
  <c r="J233" i="3"/>
  <c r="J231" i="3"/>
  <c r="J230" i="3"/>
  <c r="J218" i="3"/>
  <c r="J217" i="3"/>
  <c r="J213" i="3"/>
  <c r="J212" i="3"/>
  <c r="J211" i="3"/>
  <c r="J210" i="3"/>
  <c r="J198" i="3"/>
  <c r="J195" i="3"/>
  <c r="J193" i="3"/>
  <c r="J192" i="3"/>
  <c r="J190" i="3"/>
  <c r="J188" i="3"/>
  <c r="J183" i="3"/>
  <c r="J182" i="3"/>
  <c r="J181" i="3"/>
  <c r="J180" i="3"/>
  <c r="J178" i="3"/>
  <c r="J176" i="3"/>
  <c r="J175" i="3"/>
  <c r="J173" i="3"/>
  <c r="J172" i="3"/>
  <c r="J171" i="3"/>
  <c r="J170" i="3"/>
  <c r="J168" i="3"/>
  <c r="J166" i="3"/>
  <c r="J163" i="3"/>
  <c r="J160" i="3"/>
  <c r="J158" i="3"/>
  <c r="J157" i="3"/>
  <c r="J156" i="3"/>
  <c r="J155" i="3"/>
  <c r="J148" i="3"/>
  <c r="J147" i="3"/>
  <c r="J146" i="3"/>
  <c r="J143" i="3"/>
  <c r="J142" i="3"/>
  <c r="J138" i="3"/>
  <c r="J137" i="3"/>
  <c r="J136" i="3"/>
  <c r="J135" i="3"/>
  <c r="J133" i="3"/>
  <c r="J118" i="3"/>
  <c r="J115" i="3"/>
  <c r="J108" i="3"/>
  <c r="J107" i="3"/>
  <c r="J93" i="3"/>
  <c r="J91" i="3"/>
  <c r="J90" i="3"/>
  <c r="J88" i="3"/>
  <c r="J86" i="3"/>
  <c r="J85" i="3"/>
  <c r="J83" i="3"/>
  <c r="J81" i="3"/>
  <c r="J78" i="3"/>
  <c r="J77" i="3"/>
  <c r="J76" i="3"/>
  <c r="J75" i="3"/>
  <c r="J73" i="3"/>
  <c r="J71" i="3"/>
  <c r="J70" i="3"/>
  <c r="J68" i="3"/>
  <c r="J67" i="3"/>
  <c r="J66" i="3"/>
  <c r="J65" i="3"/>
  <c r="J63" i="3"/>
  <c r="J62" i="3"/>
  <c r="J61" i="3"/>
  <c r="J58" i="3"/>
  <c r="J56" i="3"/>
  <c r="J55" i="3"/>
  <c r="J53" i="3"/>
  <c r="J50" i="3"/>
  <c r="J43" i="3"/>
  <c r="J38" i="3" s="1"/>
  <c r="N19" i="5" l="1"/>
  <c r="M67" i="4"/>
  <c r="M66" i="4" s="1"/>
  <c r="I123" i="3"/>
  <c r="I246" i="3"/>
  <c r="J169" i="3"/>
  <c r="I331" i="3"/>
  <c r="I30" i="3"/>
  <c r="I33" i="3"/>
  <c r="J338" i="3"/>
  <c r="I120" i="3"/>
  <c r="I31" i="3"/>
  <c r="I121" i="3"/>
  <c r="I245" i="3"/>
  <c r="I247" i="3"/>
  <c r="I330" i="3"/>
  <c r="I333" i="3"/>
  <c r="M36" i="4"/>
  <c r="M32" i="4" s="1"/>
  <c r="M17" i="4"/>
  <c r="I249" i="3"/>
  <c r="I149" i="3"/>
  <c r="M50" i="4"/>
  <c r="I279" i="3"/>
  <c r="I244" i="3" s="1"/>
  <c r="I122" i="3"/>
  <c r="I124" i="3"/>
  <c r="I119" i="3" s="1"/>
  <c r="I29" i="3"/>
  <c r="I24" i="3" s="1"/>
  <c r="I32" i="3"/>
  <c r="J341" i="3"/>
  <c r="J336" i="3" s="1"/>
  <c r="J250" i="3"/>
  <c r="J285" i="3"/>
  <c r="J40" i="3"/>
  <c r="J35" i="3" s="1"/>
  <c r="J105" i="3"/>
  <c r="J340" i="3"/>
  <c r="J130" i="3"/>
  <c r="J74" i="3"/>
  <c r="J364" i="3"/>
  <c r="J359" i="3" s="1"/>
  <c r="J360" i="3"/>
  <c r="J349" i="3"/>
  <c r="J64" i="3"/>
  <c r="J59" i="3"/>
  <c r="I25" i="3" l="1"/>
  <c r="I26" i="3"/>
  <c r="I27" i="3"/>
  <c r="I28" i="3"/>
  <c r="N20" i="5"/>
  <c r="M16" i="4"/>
  <c r="J335" i="3"/>
  <c r="J330" i="3" s="1"/>
  <c r="F312" i="3"/>
  <c r="F282" i="3" s="1"/>
  <c r="F309" i="3"/>
  <c r="H309" i="3"/>
  <c r="G309" i="3"/>
  <c r="E309" i="3"/>
  <c r="D309" i="3"/>
  <c r="D314" i="3"/>
  <c r="E314" i="3"/>
  <c r="F314" i="3"/>
  <c r="G314" i="3"/>
  <c r="H314" i="3"/>
  <c r="J314" i="3"/>
  <c r="F197" i="3"/>
  <c r="J197" i="3" s="1"/>
  <c r="J194" i="3" l="1"/>
  <c r="J312" i="3"/>
  <c r="N64" i="4" s="1"/>
  <c r="J64" i="4"/>
  <c r="J309" i="3"/>
  <c r="J83" i="4" l="1"/>
  <c r="K43" i="4"/>
  <c r="L43" i="4"/>
  <c r="F131" i="3"/>
  <c r="F187" i="3"/>
  <c r="F72" i="3"/>
  <c r="J25" i="4" s="1"/>
  <c r="J43" i="4" l="1"/>
  <c r="F152" i="3"/>
  <c r="J77" i="4"/>
  <c r="F41" i="3" l="1"/>
  <c r="F344" i="3" l="1"/>
  <c r="G39" i="3" l="1"/>
  <c r="F39" i="3"/>
  <c r="J191" i="3" l="1"/>
  <c r="J189" i="3" s="1"/>
  <c r="F129" i="3" l="1"/>
  <c r="J45" i="4" l="1"/>
  <c r="N45" i="4"/>
  <c r="H194" i="3"/>
  <c r="G194" i="3"/>
  <c r="E194" i="3"/>
  <c r="D194" i="3"/>
  <c r="F194" i="3" l="1"/>
  <c r="F52" i="3"/>
  <c r="G227" i="3" l="1"/>
  <c r="K47" i="4"/>
  <c r="K38" i="4"/>
  <c r="J29" i="4" l="1"/>
  <c r="K29" i="4"/>
  <c r="L29" i="4"/>
  <c r="H29" i="4"/>
  <c r="J21" i="4"/>
  <c r="K21" i="4"/>
  <c r="L21" i="4"/>
  <c r="L20" i="4" s="1"/>
  <c r="H21" i="4"/>
  <c r="L34" i="4" l="1"/>
  <c r="M17" i="5" s="1"/>
  <c r="K34" i="4"/>
  <c r="L17" i="5" s="1"/>
  <c r="L20" i="5" s="1"/>
  <c r="H152" i="3"/>
  <c r="H151" i="3"/>
  <c r="G151" i="3"/>
  <c r="D151" i="3"/>
  <c r="E150" i="3"/>
  <c r="D150" i="3"/>
  <c r="H150" i="3"/>
  <c r="G150" i="3"/>
  <c r="I44" i="4"/>
  <c r="H44" i="4"/>
  <c r="K44" i="4"/>
  <c r="L44" i="4"/>
  <c r="J44" i="4"/>
  <c r="F127" i="3"/>
  <c r="F150" i="3"/>
  <c r="H189" i="3"/>
  <c r="G189" i="3"/>
  <c r="F189" i="3"/>
  <c r="E189" i="3"/>
  <c r="D189" i="3"/>
  <c r="N44" i="4" l="1"/>
  <c r="K41" i="4"/>
  <c r="L41" i="4"/>
  <c r="H53" i="4"/>
  <c r="K53" i="4"/>
  <c r="L18" i="5" s="1"/>
  <c r="L53" i="4"/>
  <c r="K88" i="4"/>
  <c r="L19" i="5" s="1"/>
  <c r="L88" i="4"/>
  <c r="M19" i="5" s="1"/>
  <c r="J88" i="4"/>
  <c r="I90" i="4"/>
  <c r="H90" i="4"/>
  <c r="K90" i="4"/>
  <c r="L90" i="4"/>
  <c r="J90" i="4"/>
  <c r="J34" i="4"/>
  <c r="N90" i="4" l="1"/>
  <c r="N89" i="4" s="1"/>
  <c r="K19" i="5"/>
  <c r="J53" i="4"/>
  <c r="J51" i="4" s="1"/>
  <c r="J41" i="4" l="1"/>
  <c r="J36" i="4" s="1"/>
  <c r="G20" i="5"/>
  <c r="F20" i="5"/>
  <c r="E20" i="5"/>
  <c r="D20" i="5"/>
  <c r="C20" i="5"/>
  <c r="L89" i="4"/>
  <c r="K89" i="4"/>
  <c r="I89" i="4"/>
  <c r="H89" i="4"/>
  <c r="I84" i="4"/>
  <c r="H84" i="4"/>
  <c r="N84" i="4" s="1"/>
  <c r="I83" i="4"/>
  <c r="H83" i="4"/>
  <c r="I78" i="4"/>
  <c r="H78" i="4"/>
  <c r="N78" i="4" s="1"/>
  <c r="L77" i="4"/>
  <c r="K77" i="4"/>
  <c r="H75" i="4"/>
  <c r="L68" i="4"/>
  <c r="K68" i="4"/>
  <c r="J68" i="4"/>
  <c r="J67" i="4" s="1"/>
  <c r="L51" i="4"/>
  <c r="K51" i="4"/>
  <c r="N54" i="4"/>
  <c r="H52" i="4"/>
  <c r="N52" i="4" s="1"/>
  <c r="L47" i="4"/>
  <c r="J47" i="4"/>
  <c r="H38" i="4"/>
  <c r="L33" i="4"/>
  <c r="K33" i="4"/>
  <c r="K32" i="4" s="1"/>
  <c r="J33" i="4"/>
  <c r="I22" i="4"/>
  <c r="H22" i="4"/>
  <c r="K18" i="4"/>
  <c r="J18" i="4"/>
  <c r="H18" i="4"/>
  <c r="E376" i="3"/>
  <c r="J376" i="3" s="1"/>
  <c r="H374" i="3"/>
  <c r="H369" i="3" s="1"/>
  <c r="G374" i="3"/>
  <c r="G369" i="3" s="1"/>
  <c r="F374" i="3"/>
  <c r="F369" i="3" s="1"/>
  <c r="D374" i="3"/>
  <c r="D369" i="3" s="1"/>
  <c r="H373" i="3"/>
  <c r="G373" i="3"/>
  <c r="F373" i="3"/>
  <c r="E373" i="3"/>
  <c r="D373" i="3"/>
  <c r="H372" i="3"/>
  <c r="G372" i="3"/>
  <c r="F372" i="3"/>
  <c r="E372" i="3"/>
  <c r="D372" i="3"/>
  <c r="H371" i="3"/>
  <c r="G371" i="3"/>
  <c r="F371" i="3"/>
  <c r="D371" i="3"/>
  <c r="H370" i="3"/>
  <c r="G370" i="3"/>
  <c r="F370" i="3"/>
  <c r="E370" i="3"/>
  <c r="D370" i="3"/>
  <c r="H364" i="3"/>
  <c r="H359" i="3" s="1"/>
  <c r="G364" i="3"/>
  <c r="G359" i="3" s="1"/>
  <c r="F364" i="3"/>
  <c r="F359" i="3" s="1"/>
  <c r="E364" i="3"/>
  <c r="E359" i="3" s="1"/>
  <c r="D364" i="3"/>
  <c r="D359" i="3" s="1"/>
  <c r="H363" i="3"/>
  <c r="G363" i="3"/>
  <c r="F363" i="3"/>
  <c r="E363" i="3"/>
  <c r="D363" i="3"/>
  <c r="H362" i="3"/>
  <c r="G362" i="3"/>
  <c r="F362" i="3"/>
  <c r="E362" i="3"/>
  <c r="D362" i="3"/>
  <c r="H361" i="3"/>
  <c r="G361" i="3"/>
  <c r="F361" i="3"/>
  <c r="E361" i="3"/>
  <c r="D361" i="3"/>
  <c r="H360" i="3"/>
  <c r="G360" i="3"/>
  <c r="F360" i="3"/>
  <c r="E360" i="3"/>
  <c r="D360" i="3"/>
  <c r="E357" i="3"/>
  <c r="I88" i="4" s="1"/>
  <c r="J19" i="5" s="1"/>
  <c r="D357" i="3"/>
  <c r="H354" i="3"/>
  <c r="G354" i="3"/>
  <c r="F354" i="3"/>
  <c r="H349" i="3"/>
  <c r="G349" i="3"/>
  <c r="F349" i="3"/>
  <c r="E349" i="3"/>
  <c r="D349" i="3"/>
  <c r="E347" i="3"/>
  <c r="D347" i="3"/>
  <c r="H344" i="3"/>
  <c r="G344" i="3"/>
  <c r="E344" i="3"/>
  <c r="E342" i="3"/>
  <c r="I69" i="4" s="1"/>
  <c r="I68" i="4" s="1"/>
  <c r="D342" i="3"/>
  <c r="D339" i="3" s="1"/>
  <c r="H339" i="3"/>
  <c r="G339" i="3"/>
  <c r="F339" i="3"/>
  <c r="H338" i="3"/>
  <c r="G338" i="3"/>
  <c r="G333" i="3" s="1"/>
  <c r="F338" i="3"/>
  <c r="F333" i="3" s="1"/>
  <c r="E338" i="3"/>
  <c r="E333" i="3" s="1"/>
  <c r="D338" i="3"/>
  <c r="H337" i="3"/>
  <c r="G337" i="3"/>
  <c r="F337" i="3"/>
  <c r="H336" i="3"/>
  <c r="G336" i="3"/>
  <c r="F336" i="3"/>
  <c r="E336" i="3"/>
  <c r="D336" i="3"/>
  <c r="H335" i="3"/>
  <c r="G335" i="3"/>
  <c r="F335" i="3"/>
  <c r="E335" i="3"/>
  <c r="D335" i="3"/>
  <c r="E324" i="3"/>
  <c r="J324" i="3" s="1"/>
  <c r="E319" i="3"/>
  <c r="J319" i="3" s="1"/>
  <c r="H304" i="3"/>
  <c r="G304" i="3"/>
  <c r="F304" i="3"/>
  <c r="E304" i="3"/>
  <c r="D304" i="3"/>
  <c r="E302" i="3"/>
  <c r="H294" i="3"/>
  <c r="G294" i="3"/>
  <c r="F294" i="3"/>
  <c r="E294" i="3"/>
  <c r="D294" i="3"/>
  <c r="E292" i="3"/>
  <c r="H289" i="3"/>
  <c r="G289" i="3"/>
  <c r="F289" i="3"/>
  <c r="D289" i="3"/>
  <c r="E287" i="3"/>
  <c r="H284" i="3"/>
  <c r="G284" i="3"/>
  <c r="F284" i="3"/>
  <c r="D284" i="3"/>
  <c r="H283" i="3"/>
  <c r="G283" i="3"/>
  <c r="F283" i="3"/>
  <c r="E283" i="3"/>
  <c r="D283" i="3"/>
  <c r="H282" i="3"/>
  <c r="G282" i="3"/>
  <c r="D282" i="3"/>
  <c r="H281" i="3"/>
  <c r="G281" i="3"/>
  <c r="F281" i="3"/>
  <c r="E281" i="3"/>
  <c r="D281" i="3"/>
  <c r="H280" i="3"/>
  <c r="G280" i="3"/>
  <c r="F280" i="3"/>
  <c r="E280" i="3"/>
  <c r="D280" i="3"/>
  <c r="D276" i="3"/>
  <c r="H274" i="3"/>
  <c r="G274" i="3"/>
  <c r="F274" i="3"/>
  <c r="E274" i="3"/>
  <c r="H269" i="3"/>
  <c r="G269" i="3"/>
  <c r="F269" i="3"/>
  <c r="E269" i="3"/>
  <c r="D269" i="3"/>
  <c r="H264" i="3"/>
  <c r="G264" i="3"/>
  <c r="F264" i="3"/>
  <c r="E264" i="3"/>
  <c r="D264" i="3"/>
  <c r="E262" i="3"/>
  <c r="J262" i="3" s="1"/>
  <c r="H259" i="3"/>
  <c r="G259" i="3"/>
  <c r="F259" i="3"/>
  <c r="D259" i="3"/>
  <c r="D257" i="3"/>
  <c r="J257" i="3" s="1"/>
  <c r="H254" i="3"/>
  <c r="G254" i="3"/>
  <c r="F254" i="3"/>
  <c r="E254" i="3"/>
  <c r="H253" i="3"/>
  <c r="G253" i="3"/>
  <c r="F253" i="3"/>
  <c r="E253" i="3"/>
  <c r="D253" i="3"/>
  <c r="H252" i="3"/>
  <c r="G252" i="3"/>
  <c r="F252" i="3"/>
  <c r="F247" i="3" s="1"/>
  <c r="H251" i="3"/>
  <c r="G251" i="3"/>
  <c r="F251" i="3"/>
  <c r="E251" i="3"/>
  <c r="H250" i="3"/>
  <c r="G250" i="3"/>
  <c r="F250" i="3"/>
  <c r="E250" i="3"/>
  <c r="D250" i="3"/>
  <c r="E232" i="3"/>
  <c r="H229" i="3"/>
  <c r="G229" i="3"/>
  <c r="F229" i="3"/>
  <c r="D229" i="3"/>
  <c r="F228" i="3"/>
  <c r="J228" i="3" s="1"/>
  <c r="F227" i="3"/>
  <c r="F122" i="3" s="1"/>
  <c r="G226" i="3"/>
  <c r="G224" i="3" s="1"/>
  <c r="F226" i="3"/>
  <c r="E226" i="3"/>
  <c r="F225" i="3"/>
  <c r="F205" i="3" s="1"/>
  <c r="D224" i="3"/>
  <c r="E216" i="3"/>
  <c r="H214" i="3"/>
  <c r="G214" i="3"/>
  <c r="F214" i="3"/>
  <c r="D214" i="3"/>
  <c r="H209" i="3"/>
  <c r="G209" i="3"/>
  <c r="E209" i="3"/>
  <c r="D209" i="3"/>
  <c r="E187" i="3"/>
  <c r="H184" i="3"/>
  <c r="G184" i="3"/>
  <c r="F184" i="3"/>
  <c r="D184" i="3"/>
  <c r="H179" i="3"/>
  <c r="G179" i="3"/>
  <c r="F179" i="3"/>
  <c r="E179" i="3"/>
  <c r="D179" i="3"/>
  <c r="E177" i="3"/>
  <c r="I41" i="4" s="1"/>
  <c r="D177" i="3"/>
  <c r="H174" i="3"/>
  <c r="G174" i="3"/>
  <c r="G149" i="3" s="1"/>
  <c r="F174" i="3"/>
  <c r="H169" i="3"/>
  <c r="G169" i="3"/>
  <c r="F169" i="3"/>
  <c r="E169" i="3"/>
  <c r="D169" i="3"/>
  <c r="E167" i="3"/>
  <c r="E164" i="3" s="1"/>
  <c r="H164" i="3"/>
  <c r="G164" i="3"/>
  <c r="F164" i="3"/>
  <c r="D164" i="3"/>
  <c r="E162" i="3"/>
  <c r="I38" i="4" s="1"/>
  <c r="D162" i="3"/>
  <c r="E161" i="3"/>
  <c r="J161" i="3" s="1"/>
  <c r="H159" i="3"/>
  <c r="G159" i="3"/>
  <c r="H154" i="3"/>
  <c r="G154" i="3"/>
  <c r="F154" i="3"/>
  <c r="E154" i="3"/>
  <c r="D154" i="3"/>
  <c r="H153" i="3"/>
  <c r="G153" i="3"/>
  <c r="F153" i="3"/>
  <c r="E153" i="3"/>
  <c r="D153" i="3"/>
  <c r="H144" i="3"/>
  <c r="G144" i="3"/>
  <c r="F144" i="3"/>
  <c r="E144" i="3"/>
  <c r="D144" i="3"/>
  <c r="H141" i="3"/>
  <c r="J141" i="3" s="1"/>
  <c r="G139" i="3"/>
  <c r="F139" i="3"/>
  <c r="E139" i="3"/>
  <c r="D139" i="3"/>
  <c r="H134" i="3"/>
  <c r="G134" i="3"/>
  <c r="F134" i="3"/>
  <c r="E134" i="3"/>
  <c r="D134" i="3"/>
  <c r="E132" i="3"/>
  <c r="I34" i="4" s="1"/>
  <c r="D132" i="3"/>
  <c r="E131" i="3"/>
  <c r="H129" i="3"/>
  <c r="G129" i="3"/>
  <c r="G124" i="3" s="1"/>
  <c r="H128" i="3"/>
  <c r="G128" i="3"/>
  <c r="F128" i="3"/>
  <c r="E128" i="3"/>
  <c r="D128" i="3"/>
  <c r="H127" i="3"/>
  <c r="H122" i="3" s="1"/>
  <c r="F126" i="3"/>
  <c r="D126" i="3"/>
  <c r="H125" i="3"/>
  <c r="H120" i="3" s="1"/>
  <c r="G125" i="3"/>
  <c r="G120" i="3" s="1"/>
  <c r="F125" i="3"/>
  <c r="E125" i="3"/>
  <c r="E120" i="3" s="1"/>
  <c r="D125" i="3"/>
  <c r="D120" i="3" s="1"/>
  <c r="E117" i="3"/>
  <c r="J117" i="3" s="1"/>
  <c r="E116" i="3"/>
  <c r="J110" i="3"/>
  <c r="J113" i="3"/>
  <c r="H113" i="3"/>
  <c r="G113" i="3"/>
  <c r="F113" i="3"/>
  <c r="E113" i="3"/>
  <c r="D113" i="3"/>
  <c r="H112" i="3"/>
  <c r="L31" i="4" s="1"/>
  <c r="G112" i="3"/>
  <c r="K31" i="4" s="1"/>
  <c r="F112" i="3"/>
  <c r="J31" i="4" s="1"/>
  <c r="D112" i="3"/>
  <c r="H31" i="4" s="1"/>
  <c r="H111" i="3"/>
  <c r="G111" i="3"/>
  <c r="F111" i="3"/>
  <c r="D111" i="3"/>
  <c r="H110" i="3"/>
  <c r="G110" i="3"/>
  <c r="F110" i="3"/>
  <c r="E110" i="3"/>
  <c r="D110" i="3"/>
  <c r="H109" i="3"/>
  <c r="G109" i="3"/>
  <c r="F109" i="3"/>
  <c r="D109" i="3"/>
  <c r="J103" i="3"/>
  <c r="J33" i="3" s="1"/>
  <c r="J102" i="3"/>
  <c r="E106" i="3"/>
  <c r="E101" i="3" s="1"/>
  <c r="H104" i="3"/>
  <c r="H99" i="3" s="1"/>
  <c r="G104" i="3"/>
  <c r="G99" i="3" s="1"/>
  <c r="F104" i="3"/>
  <c r="F99" i="3" s="1"/>
  <c r="D104" i="3"/>
  <c r="D99" i="3" s="1"/>
  <c r="H103" i="3"/>
  <c r="G103" i="3"/>
  <c r="F103" i="3"/>
  <c r="E103" i="3"/>
  <c r="D103" i="3"/>
  <c r="H102" i="3"/>
  <c r="G102" i="3"/>
  <c r="F102" i="3"/>
  <c r="E102" i="3"/>
  <c r="D102" i="3"/>
  <c r="H101" i="3"/>
  <c r="G101" i="3"/>
  <c r="F101" i="3"/>
  <c r="D101" i="3"/>
  <c r="J100" i="3"/>
  <c r="J30" i="3" s="1"/>
  <c r="H100" i="3"/>
  <c r="G100" i="3"/>
  <c r="F100" i="3"/>
  <c r="E100" i="3"/>
  <c r="D100" i="3"/>
  <c r="E92" i="3"/>
  <c r="H89" i="3"/>
  <c r="G89" i="3"/>
  <c r="F89" i="3"/>
  <c r="E89" i="3"/>
  <c r="E87" i="3"/>
  <c r="H84" i="3"/>
  <c r="G84" i="3"/>
  <c r="F84" i="3"/>
  <c r="D84" i="3"/>
  <c r="E82" i="3"/>
  <c r="E79" i="3" s="1"/>
  <c r="H79" i="3"/>
  <c r="G79" i="3"/>
  <c r="F79" i="3"/>
  <c r="D79" i="3"/>
  <c r="H74" i="3"/>
  <c r="G74" i="3"/>
  <c r="F74" i="3"/>
  <c r="E74" i="3"/>
  <c r="D74" i="3"/>
  <c r="E72" i="3"/>
  <c r="H69" i="3"/>
  <c r="G69" i="3"/>
  <c r="F69" i="3"/>
  <c r="D69" i="3"/>
  <c r="H64" i="3"/>
  <c r="L24" i="4" s="1"/>
  <c r="G64" i="3"/>
  <c r="F64" i="3"/>
  <c r="J24" i="4" s="1"/>
  <c r="E64" i="3"/>
  <c r="I24" i="4" s="1"/>
  <c r="D64" i="3"/>
  <c r="H59" i="3"/>
  <c r="G59" i="3"/>
  <c r="F59" i="3"/>
  <c r="E59" i="3"/>
  <c r="D59" i="3"/>
  <c r="E57" i="3"/>
  <c r="E54" i="3" s="1"/>
  <c r="D57" i="3"/>
  <c r="H54" i="3"/>
  <c r="G54" i="3"/>
  <c r="F54" i="3"/>
  <c r="E52" i="3"/>
  <c r="J52" i="3" s="1"/>
  <c r="E51" i="3"/>
  <c r="J51" i="3" s="1"/>
  <c r="H49" i="3"/>
  <c r="H44" i="3" s="1"/>
  <c r="G49" i="3"/>
  <c r="F49" i="3"/>
  <c r="D49" i="3"/>
  <c r="F48" i="3"/>
  <c r="E48" i="3"/>
  <c r="D48" i="3"/>
  <c r="F47" i="3"/>
  <c r="F46" i="3"/>
  <c r="D46" i="3"/>
  <c r="F45" i="3"/>
  <c r="E45" i="3"/>
  <c r="D45" i="3"/>
  <c r="E42" i="3"/>
  <c r="E41" i="3"/>
  <c r="J41" i="3" s="1"/>
  <c r="H39" i="3"/>
  <c r="H34" i="3" s="1"/>
  <c r="G34" i="3"/>
  <c r="F34" i="3"/>
  <c r="D39" i="3"/>
  <c r="D34" i="3" s="1"/>
  <c r="H38" i="3"/>
  <c r="G38" i="3"/>
  <c r="F38" i="3"/>
  <c r="E38" i="3"/>
  <c r="D38" i="3"/>
  <c r="H37" i="3"/>
  <c r="G37" i="3"/>
  <c r="F37" i="3"/>
  <c r="D37" i="3"/>
  <c r="H36" i="3"/>
  <c r="G36" i="3"/>
  <c r="F36" i="3"/>
  <c r="D36" i="3"/>
  <c r="H35" i="3"/>
  <c r="G35" i="3"/>
  <c r="F35" i="3"/>
  <c r="E35" i="3"/>
  <c r="D35" i="3"/>
  <c r="G119" i="3" l="1"/>
  <c r="K24" i="4"/>
  <c r="K20" i="4" s="1"/>
  <c r="K17" i="4" s="1"/>
  <c r="G44" i="3"/>
  <c r="G29" i="3" s="1"/>
  <c r="E246" i="3"/>
  <c r="E248" i="3"/>
  <c r="E282" i="3"/>
  <c r="E127" i="3"/>
  <c r="D245" i="3"/>
  <c r="J216" i="3"/>
  <c r="E206" i="3"/>
  <c r="J205" i="3"/>
  <c r="F204" i="3"/>
  <c r="H245" i="3"/>
  <c r="J287" i="3"/>
  <c r="J284" i="3" s="1"/>
  <c r="I59" i="4"/>
  <c r="N59" i="4" s="1"/>
  <c r="J82" i="3"/>
  <c r="J79" i="3" s="1"/>
  <c r="I27" i="4"/>
  <c r="J132" i="3"/>
  <c r="J127" i="3" s="1"/>
  <c r="J232" i="3"/>
  <c r="I48" i="4"/>
  <c r="I47" i="4" s="1"/>
  <c r="J292" i="3"/>
  <c r="I60" i="4"/>
  <c r="N60" i="4" s="1"/>
  <c r="F330" i="3"/>
  <c r="J342" i="3"/>
  <c r="J339" i="3" s="1"/>
  <c r="H69" i="4"/>
  <c r="N69" i="4" s="1"/>
  <c r="N68" i="4" s="1"/>
  <c r="J167" i="3"/>
  <c r="J164" i="3" s="1"/>
  <c r="I39" i="4"/>
  <c r="N39" i="4" s="1"/>
  <c r="J72" i="3"/>
  <c r="J69" i="3" s="1"/>
  <c r="I25" i="4"/>
  <c r="N25" i="4" s="1"/>
  <c r="J87" i="3"/>
  <c r="J84" i="3" s="1"/>
  <c r="I28" i="4"/>
  <c r="N28" i="4" s="1"/>
  <c r="J42" i="3"/>
  <c r="J37" i="3" s="1"/>
  <c r="I19" i="4"/>
  <c r="I18" i="4" s="1"/>
  <c r="E252" i="3"/>
  <c r="E247" i="3" s="1"/>
  <c r="J302" i="3"/>
  <c r="I62" i="4"/>
  <c r="N62" i="4" s="1"/>
  <c r="F124" i="3"/>
  <c r="J32" i="4"/>
  <c r="I29" i="4"/>
  <c r="N29" i="4" s="1"/>
  <c r="J92" i="3"/>
  <c r="E104" i="3"/>
  <c r="E99" i="3" s="1"/>
  <c r="J106" i="3"/>
  <c r="J104" i="3" s="1"/>
  <c r="J99" i="3" s="1"/>
  <c r="E129" i="3"/>
  <c r="J131" i="3"/>
  <c r="E151" i="3"/>
  <c r="I43" i="4"/>
  <c r="J187" i="3"/>
  <c r="D251" i="3"/>
  <c r="D246" i="3" s="1"/>
  <c r="J276" i="3"/>
  <c r="J371" i="3"/>
  <c r="J331" i="3" s="1"/>
  <c r="J374" i="3"/>
  <c r="J369" i="3" s="1"/>
  <c r="J36" i="3"/>
  <c r="E36" i="3"/>
  <c r="J49" i="3"/>
  <c r="J57" i="3"/>
  <c r="J54" i="3" s="1"/>
  <c r="E111" i="3"/>
  <c r="J116" i="3"/>
  <c r="J111" i="3" s="1"/>
  <c r="F120" i="3"/>
  <c r="H126" i="3"/>
  <c r="H121" i="3" s="1"/>
  <c r="H123" i="3"/>
  <c r="H34" i="4"/>
  <c r="N34" i="4" s="1"/>
  <c r="N33" i="4" s="1"/>
  <c r="J144" i="3"/>
  <c r="D152" i="3"/>
  <c r="J162" i="3"/>
  <c r="J159" i="3" s="1"/>
  <c r="H41" i="4"/>
  <c r="H36" i="4" s="1"/>
  <c r="J177" i="3"/>
  <c r="J226" i="3"/>
  <c r="G245" i="3"/>
  <c r="G279" i="3"/>
  <c r="G244" i="3" s="1"/>
  <c r="E299" i="3"/>
  <c r="J299" i="3" s="1"/>
  <c r="E330" i="3"/>
  <c r="D331" i="3"/>
  <c r="G332" i="3"/>
  <c r="D344" i="3"/>
  <c r="J347" i="3"/>
  <c r="J344" i="3" s="1"/>
  <c r="J357" i="3"/>
  <c r="J354" i="3" s="1"/>
  <c r="N83" i="4"/>
  <c r="N77" i="4" s="1"/>
  <c r="J58" i="4"/>
  <c r="L36" i="4"/>
  <c r="L32" i="4" s="1"/>
  <c r="N56" i="4"/>
  <c r="N63" i="4"/>
  <c r="N65" i="4"/>
  <c r="N24" i="4"/>
  <c r="N38" i="4"/>
  <c r="N40" i="4"/>
  <c r="N22" i="4"/>
  <c r="L18" i="4"/>
  <c r="N27" i="4"/>
  <c r="D330" i="3"/>
  <c r="H330" i="3"/>
  <c r="F279" i="3"/>
  <c r="F249" i="3"/>
  <c r="D248" i="3"/>
  <c r="H248" i="3"/>
  <c r="D47" i="3"/>
  <c r="D30" i="3"/>
  <c r="G248" i="3"/>
  <c r="G247" i="3"/>
  <c r="H331" i="3"/>
  <c r="D333" i="3"/>
  <c r="H333" i="3"/>
  <c r="H329" i="3"/>
  <c r="J150" i="3"/>
  <c r="D159" i="3"/>
  <c r="J179" i="3"/>
  <c r="F224" i="3"/>
  <c r="G249" i="3"/>
  <c r="F245" i="3"/>
  <c r="H246" i="3"/>
  <c r="F334" i="3"/>
  <c r="F329" i="3" s="1"/>
  <c r="H30" i="3"/>
  <c r="G30" i="3"/>
  <c r="F31" i="3"/>
  <c r="E259" i="3"/>
  <c r="I53" i="4"/>
  <c r="I51" i="4" s="1"/>
  <c r="E354" i="3"/>
  <c r="I21" i="4"/>
  <c r="N21" i="4" s="1"/>
  <c r="D127" i="3"/>
  <c r="E152" i="3"/>
  <c r="E214" i="3"/>
  <c r="J294" i="3"/>
  <c r="H279" i="3"/>
  <c r="G330" i="3"/>
  <c r="F121" i="3"/>
  <c r="E123" i="3"/>
  <c r="D129" i="3"/>
  <c r="D124" i="3" s="1"/>
  <c r="J128" i="3"/>
  <c r="H149" i="3"/>
  <c r="E227" i="3"/>
  <c r="J227" i="3" s="1"/>
  <c r="J269" i="3"/>
  <c r="E284" i="3"/>
  <c r="G334" i="3"/>
  <c r="G329" i="3" s="1"/>
  <c r="H88" i="4"/>
  <c r="F32" i="3"/>
  <c r="H58" i="4"/>
  <c r="K67" i="4"/>
  <c r="K66" i="4" s="1"/>
  <c r="F30" i="3"/>
  <c r="J125" i="3"/>
  <c r="D123" i="3"/>
  <c r="G32" i="3"/>
  <c r="E33" i="3"/>
  <c r="J209" i="3"/>
  <c r="E49" i="3"/>
  <c r="E46" i="3"/>
  <c r="F44" i="3"/>
  <c r="F29" i="3" s="1"/>
  <c r="N43" i="4"/>
  <c r="E184" i="3"/>
  <c r="J89" i="3"/>
  <c r="J44" i="3" s="1"/>
  <c r="J112" i="3"/>
  <c r="E112" i="3"/>
  <c r="I31" i="4" s="1"/>
  <c r="N31" i="4" s="1"/>
  <c r="E126" i="3"/>
  <c r="F159" i="3"/>
  <c r="F149" i="3" s="1"/>
  <c r="E159" i="3"/>
  <c r="J151" i="3"/>
  <c r="D174" i="3"/>
  <c r="J251" i="3"/>
  <c r="D274" i="3"/>
  <c r="E337" i="3"/>
  <c r="E332" i="3" s="1"/>
  <c r="E339" i="3"/>
  <c r="E114" i="3"/>
  <c r="J114" i="3" s="1"/>
  <c r="J109" i="3" s="1"/>
  <c r="E37" i="3"/>
  <c r="E39" i="3"/>
  <c r="E34" i="3" s="1"/>
  <c r="F248" i="3"/>
  <c r="E371" i="3"/>
  <c r="E331" i="3" s="1"/>
  <c r="E374" i="3"/>
  <c r="E369" i="3" s="1"/>
  <c r="J280" i="3"/>
  <c r="J304" i="3"/>
  <c r="F331" i="3"/>
  <c r="F33" i="3"/>
  <c r="D32" i="3"/>
  <c r="J254" i="3"/>
  <c r="D252" i="3"/>
  <c r="D247" i="3" s="1"/>
  <c r="E249" i="3"/>
  <c r="J264" i="3"/>
  <c r="J283" i="3"/>
  <c r="G331" i="3"/>
  <c r="D31" i="3"/>
  <c r="H31" i="3"/>
  <c r="D121" i="3"/>
  <c r="F123" i="3"/>
  <c r="E124" i="3"/>
  <c r="H139" i="3"/>
  <c r="J139" i="3" s="1"/>
  <c r="E174" i="3"/>
  <c r="J229" i="3"/>
  <c r="F246" i="3"/>
  <c r="D254" i="3"/>
  <c r="H249" i="3"/>
  <c r="J259" i="3"/>
  <c r="J253" i="3"/>
  <c r="D279" i="3"/>
  <c r="E289" i="3"/>
  <c r="D33" i="3"/>
  <c r="H33" i="3"/>
  <c r="E30" i="3"/>
  <c r="G31" i="3"/>
  <c r="G26" i="3" s="1"/>
  <c r="G33" i="3"/>
  <c r="H32" i="3"/>
  <c r="J134" i="3"/>
  <c r="J153" i="3"/>
  <c r="H247" i="3"/>
  <c r="E245" i="3"/>
  <c r="G246" i="3"/>
  <c r="J281" i="3"/>
  <c r="F332" i="3"/>
  <c r="D354" i="3"/>
  <c r="D334" i="3" s="1"/>
  <c r="D329" i="3" s="1"/>
  <c r="H17" i="4"/>
  <c r="L58" i="4"/>
  <c r="L50" i="4" s="1"/>
  <c r="H51" i="4"/>
  <c r="I77" i="4"/>
  <c r="I67" i="4" s="1"/>
  <c r="I66" i="4" s="1"/>
  <c r="K50" i="4"/>
  <c r="K16" i="4" s="1"/>
  <c r="L67" i="4"/>
  <c r="L66" i="4" s="1"/>
  <c r="I33" i="4"/>
  <c r="J89" i="4"/>
  <c r="J66" i="4" s="1"/>
  <c r="H77" i="4"/>
  <c r="H29" i="3"/>
  <c r="E69" i="3"/>
  <c r="E47" i="3"/>
  <c r="J154" i="3"/>
  <c r="E84" i="3"/>
  <c r="D54" i="3"/>
  <c r="D44" i="3" s="1"/>
  <c r="D29" i="3" s="1"/>
  <c r="E109" i="3"/>
  <c r="J214" i="3"/>
  <c r="E229" i="3"/>
  <c r="D337" i="3"/>
  <c r="D332" i="3" s="1"/>
  <c r="G123" i="3"/>
  <c r="G27" i="3" l="1"/>
  <c r="N20" i="4"/>
  <c r="J47" i="3"/>
  <c r="N41" i="4"/>
  <c r="N36" i="4" s="1"/>
  <c r="N19" i="4"/>
  <c r="N18" i="4" s="1"/>
  <c r="H68" i="4"/>
  <c r="H25" i="3"/>
  <c r="I58" i="4"/>
  <c r="I50" i="4" s="1"/>
  <c r="D25" i="3"/>
  <c r="E31" i="3"/>
  <c r="G24" i="3"/>
  <c r="I36" i="4"/>
  <c r="E204" i="3"/>
  <c r="J204" i="3" s="1"/>
  <c r="J206" i="3"/>
  <c r="J282" i="3"/>
  <c r="N48" i="4"/>
  <c r="N47" i="4" s="1"/>
  <c r="J289" i="3"/>
  <c r="J279" i="3" s="1"/>
  <c r="D122" i="3"/>
  <c r="D27" i="3" s="1"/>
  <c r="J39" i="3"/>
  <c r="J34" i="3" s="1"/>
  <c r="E224" i="3"/>
  <c r="J333" i="3"/>
  <c r="F244" i="3"/>
  <c r="J50" i="4"/>
  <c r="H33" i="4"/>
  <c r="H32" i="4" s="1"/>
  <c r="J101" i="3"/>
  <c r="J31" i="3" s="1"/>
  <c r="J152" i="3"/>
  <c r="J122" i="3" s="1"/>
  <c r="J184" i="3"/>
  <c r="H244" i="3"/>
  <c r="L17" i="4"/>
  <c r="M20" i="5" s="1"/>
  <c r="J337" i="3"/>
  <c r="J332" i="3" s="1"/>
  <c r="E334" i="3"/>
  <c r="E329" i="3" s="1"/>
  <c r="D149" i="3"/>
  <c r="D119" i="3" s="1"/>
  <c r="J224" i="3"/>
  <c r="J334" i="3"/>
  <c r="J329" i="3" s="1"/>
  <c r="J32" i="3"/>
  <c r="N58" i="4"/>
  <c r="G25" i="3"/>
  <c r="I19" i="5"/>
  <c r="N88" i="4"/>
  <c r="N67" i="4" s="1"/>
  <c r="N66" i="4" s="1"/>
  <c r="N53" i="4"/>
  <c r="N51" i="4" s="1"/>
  <c r="D249" i="3"/>
  <c r="D244" i="3" s="1"/>
  <c r="F25" i="3"/>
  <c r="E279" i="3"/>
  <c r="E244" i="3" s="1"/>
  <c r="E122" i="3"/>
  <c r="H28" i="3"/>
  <c r="E149" i="3"/>
  <c r="J245" i="3"/>
  <c r="F27" i="3"/>
  <c r="J174" i="3"/>
  <c r="F119" i="3"/>
  <c r="J126" i="3"/>
  <c r="H50" i="4"/>
  <c r="E28" i="3"/>
  <c r="F26" i="3"/>
  <c r="I17" i="4"/>
  <c r="J248" i="3"/>
  <c r="J246" i="3"/>
  <c r="E25" i="3"/>
  <c r="J120" i="3"/>
  <c r="F28" i="3"/>
  <c r="J17" i="4"/>
  <c r="J16" i="4" s="1"/>
  <c r="H26" i="3"/>
  <c r="E32" i="3"/>
  <c r="J123" i="3"/>
  <c r="J129" i="3"/>
  <c r="J124" i="3" s="1"/>
  <c r="D28" i="3"/>
  <c r="I32" i="4"/>
  <c r="H27" i="3"/>
  <c r="E44" i="3"/>
  <c r="E29" i="3" s="1"/>
  <c r="G28" i="3"/>
  <c r="J274" i="3"/>
  <c r="J249" i="3" s="1"/>
  <c r="H124" i="3"/>
  <c r="D26" i="3"/>
  <c r="J252" i="3"/>
  <c r="J247" i="3" s="1"/>
  <c r="H67" i="4"/>
  <c r="H66" i="4" s="1"/>
  <c r="E121" i="3"/>
  <c r="N17" i="4" l="1"/>
  <c r="H119" i="3"/>
  <c r="H24" i="3" s="1"/>
  <c r="I16" i="4"/>
  <c r="J29" i="3"/>
  <c r="N32" i="4"/>
  <c r="E26" i="3"/>
  <c r="J25" i="3"/>
  <c r="F24" i="3"/>
  <c r="J149" i="3"/>
  <c r="J119" i="3" s="1"/>
  <c r="L16" i="4"/>
  <c r="N50" i="4"/>
  <c r="J244" i="3"/>
  <c r="J28" i="3"/>
  <c r="J27" i="3"/>
  <c r="J121" i="3"/>
  <c r="J26" i="3" s="1"/>
  <c r="D24" i="3"/>
  <c r="E27" i="3"/>
  <c r="H16" i="4"/>
  <c r="K20" i="5"/>
  <c r="E119" i="3"/>
  <c r="E24" i="3" s="1"/>
  <c r="N16" i="4" l="1"/>
  <c r="J20" i="5"/>
  <c r="J24" i="3"/>
</calcChain>
</file>

<file path=xl/sharedStrings.xml><?xml version="1.0" encoding="utf-8"?>
<sst xmlns="http://schemas.openxmlformats.org/spreadsheetml/2006/main" count="1087" uniqueCount="353">
  <si>
    <t xml:space="preserve">            Значения показателей            </t>
  </si>
  <si>
    <t xml:space="preserve"> №  п/п</t>
  </si>
  <si>
    <t xml:space="preserve">Показатель (индикатор) (наименование)
</t>
  </si>
  <si>
    <t>Доля обучающихся общеобразовательных учреждений, охваченных различными видами отдыха, оздоровления и занятости, от общего числа обучающихся муниципальных общеобразовательных учреждений в возрасте от 7 до 17 лет</t>
  </si>
  <si>
    <t>Доля детей в возрасте 5 - 18 лет (в том числе дети с ограниченными возможностями здоровья, одаренные дети, дети группы риска),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</si>
  <si>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педагогических работников муниципальных образовательных учреждений в общей численности педагогических работников муниципальных образовательных учреждений, прошедших курсы повышения квалификации</t>
  </si>
  <si>
    <t>1.1.</t>
  </si>
  <si>
    <t>1.2.</t>
  </si>
  <si>
    <t>1.3.</t>
  </si>
  <si>
    <t>1.4.</t>
  </si>
  <si>
    <t>2.1.</t>
  </si>
  <si>
    <t>2.2.</t>
  </si>
  <si>
    <t>3.1.</t>
  </si>
  <si>
    <t>3.2.</t>
  </si>
  <si>
    <t>3.3.</t>
  </si>
  <si>
    <t>3.4.</t>
  </si>
  <si>
    <t>4.1.</t>
  </si>
  <si>
    <t>4.2.</t>
  </si>
  <si>
    <t>%</t>
  </si>
  <si>
    <t>Ед. изм.</t>
  </si>
  <si>
    <t>Доля, детей в возрасте 1-6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1-6 лет</t>
  </si>
  <si>
    <t>2.3.</t>
  </si>
  <si>
    <t>Доля педагогических работников муниципальных  дошкольных образовательных учреждений в общей численности педагогических работников муниципальных дошкольных образовательных учреждений, прошедших курсы повышения квалификации</t>
  </si>
  <si>
    <t>Доля педагогических работников муниципальных  учреждений дополнительного образования в общей численности педагогических работников муниципальных  учреждений дополнительного образования, прошедших курсы повышения квалификации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</si>
  <si>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</t>
  </si>
  <si>
    <t>Доля детей в возрасте  от 1,5 до 3 лет, получающих дошкольную образовательную услугу и (или) услугу по их содержанию в муниципальных образовательных учреждениях осуществляющих образовательную деятельность по образовательным программам дошкольного образования в общей численности детей в возрасте  от 1,5 до 3 лет, получающих дошкольное образование и находящихся в очереди на получение по состоянию на 1 января года, следующего за отчетным</t>
  </si>
  <si>
    <t>Удовлетворенность населения качеством дошкольного образования</t>
  </si>
  <si>
    <t>Удовлетворенность населения качеством общего образования</t>
  </si>
  <si>
    <t>Удовлетворенность населения качеством дополнительного образования</t>
  </si>
  <si>
    <t>Удельный вес численности обучающихся, занимающихся в первую смену в общей численности обучающихся общеобразовательных организаций</t>
  </si>
  <si>
    <t>4.2</t>
  </si>
  <si>
    <t>4.3</t>
  </si>
  <si>
    <t xml:space="preserve">Доля детей в возрасте от 5 до 18 лет, получающих дополнительное образование с использованием сертификата дополнительного образования, в общей численности детей, получающих дополнительное образование за счет бюджетных средств (за исключением дополнительного образования детей в детских школах искусств) </t>
  </si>
  <si>
    <t xml:space="preserve">Доля детей в возрасте от 5 до 18 лет, использующих сертификаты дополнительного образования в статусе сертификатов персонифицированного финансирования </t>
  </si>
  <si>
    <t>-</t>
  </si>
  <si>
    <t>ПЕРЕЧЕНЬ МЕРОПРИЯТИЙ МУНИЦИПАЛЬНОЙ ПРОГРАММЫ, ПОДПРОГРАММ И ОТДЕЛЬНЫХ МЕРОПРИЯТИЙ</t>
  </si>
  <si>
    <t>№ п/п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</si>
  <si>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</si>
  <si>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</si>
  <si>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Срок</t>
  </si>
  <si>
    <t>Ожидаемый непосредственный результат (краткое описание)</t>
  </si>
  <si>
    <t>Связь с показателями муниципальной программы</t>
  </si>
  <si>
    <t>начала реализации</t>
  </si>
  <si>
    <t>окончания реализации</t>
  </si>
  <si>
    <t>1.</t>
  </si>
  <si>
    <t>Основное мероприятие 1.1. "Обеспечение воспитательного процесса в дошкольных образовательных учреждениях"</t>
  </si>
  <si>
    <t xml:space="preserve">Управление  образования Администрации Ханкайского муниципального округа, 
муниципальные образовательные учреждения
</t>
  </si>
  <si>
    <t>1.1.1</t>
  </si>
  <si>
    <t xml:space="preserve">Обеспечение деятельности (оказание услуг, выполнение работ) муниципальных дошкольных образовательных организаций </t>
  </si>
  <si>
    <t>Улучшение условий получения образования, обеспечение доступности образо-вания, повышения качества образования</t>
  </si>
  <si>
    <t>1.1., 2.2.</t>
  </si>
  <si>
    <t>Основное мероприятие 1.2. "Мероприятия не связанные с воспитательным процессом"</t>
  </si>
  <si>
    <t>1.2.1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</si>
  <si>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</si>
  <si>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Создание условий, соответствующих требовнаиям ФГОС дошкольного образования</t>
  </si>
  <si>
    <t>1.2.2</t>
  </si>
  <si>
    <t xml:space="preserve">Строительство, реконструкция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</si>
  <si>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Введение дополнительных мест в дошкольных образовательных организациях</t>
  </si>
  <si>
    <t>1.1.,2.1.</t>
  </si>
  <si>
    <t>1.2.3</t>
  </si>
  <si>
    <t xml:space="preserve">Мероприятия государственной программы "Доступная среда" </t>
  </si>
  <si>
    <t>Обеспечение доступности качественного дошкольного образования</t>
  </si>
  <si>
    <t>1.2.4</t>
  </si>
  <si>
    <t xml:space="preserve">Обеспечение беспрепятственного доступа инвалидов к объектам социальной инфраструктуры </t>
  </si>
  <si>
    <t>1.2.5</t>
  </si>
  <si>
    <t xml:space="preserve">Оснащение муниципальных дошкольных образовательных  организаций недвижимым  и особо ценным движимым имуществом </t>
  </si>
  <si>
    <t>Укрепление материально-технической базы дошкольных образовательных организаций</t>
  </si>
  <si>
    <t>1.2.6</t>
  </si>
  <si>
    <t>Мероприятия по энергосбережению и повышению энергетической эффективности</t>
  </si>
  <si>
    <t>Повышение эффективности использования топливно-энергетических ресурсов, замена изношенного оборудования и инженерных коммуникаций</t>
  </si>
  <si>
    <t>1.2.7</t>
  </si>
  <si>
    <t>Мероприятия по профилактике терроризма и экстремизма</t>
  </si>
  <si>
    <t>Усиление антитеррористической защищенности, совершенствование системы профилактики антитеррористической и экстремистской направленности</t>
  </si>
  <si>
    <t>1.2.8.</t>
  </si>
  <si>
    <t>Мероприятия по пожарной безопасности</t>
  </si>
  <si>
    <t>Создание безопасных условий обучения</t>
  </si>
  <si>
    <t>1.3</t>
  </si>
  <si>
    <t>Основное мероприятие  1.3.</t>
  </si>
  <si>
    <t>1.3.1</t>
  </si>
  <si>
    <t>Выплата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</si>
  <si>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Материальная поддержка воспитания и обучения детей, посещающих образовательные организации, реализующих образовательную программу дошкольного образования</t>
  </si>
  <si>
    <t>2.</t>
  </si>
  <si>
    <t>Основное мероприятие 2.1. "Обеспечение деятельности организаций, осуществляющих программу общего образования"</t>
  </si>
  <si>
    <t>Управление  образования Администрации Ханкайского муниципального округа, 
муниципальные образовательные учреждения</t>
  </si>
  <si>
    <t>2.1.1.</t>
  </si>
  <si>
    <t>Обеспечение деятельности (оказание услуг, выполнение работ) муниципальных общеобразовательных организаций</t>
  </si>
  <si>
    <t>1.2.,3.1.</t>
  </si>
  <si>
    <t>2.1.2</t>
  </si>
  <si>
    <t>Обеспечение беспрепятственного доступа инвалидов в образовательные организации</t>
  </si>
  <si>
    <t>Обеспечение доступности качественного общего образования</t>
  </si>
  <si>
    <t>Основное мероприятие 2.2."Мероприятия не связанные с образовательным процессом"</t>
  </si>
  <si>
    <t>2.2.1</t>
  </si>
  <si>
    <t>Расходы на приобретение школьных автобусов для муниципальных общеобразовательных организаций</t>
  </si>
  <si>
    <t>2.2.2.</t>
  </si>
  <si>
    <t>Расходы на проведение ремонтных работ общеобразовательных учреждений</t>
  </si>
  <si>
    <t>Создание условий, соответствующих требованиям ФГОС общего образования</t>
  </si>
  <si>
    <t>3.1., 3.2.</t>
  </si>
  <si>
    <t>2.2.3</t>
  </si>
  <si>
    <t>2.2.4.</t>
  </si>
  <si>
    <t xml:space="preserve">Мероприятия по профилактике правонарушений </t>
  </si>
  <si>
    <t>Комиссия по делам несовершеннолетних Администрации Ханкайского муниципального округа,Управление образования Администрации Ханкайского муниципального округа, 
муниципальные образовательные учреждения</t>
  </si>
  <si>
    <t>Профилактика среди обучающихся правонарушений, наркомании, алкоголизма,  формирование навыков здрового времяпровождения.</t>
  </si>
  <si>
    <t>2.2.5</t>
  </si>
  <si>
    <t>2.2.6</t>
  </si>
  <si>
    <t xml:space="preserve">Мероприятия по энергосбережению и повышению энергетической эффективности </t>
  </si>
  <si>
    <t>2.2.7</t>
  </si>
  <si>
    <t xml:space="preserve">Оснащение муниципальных общеобразовательных организаций недвижимым  и особо ценным движимым имуществом </t>
  </si>
  <si>
    <t>Укрепление материально-технической базы общеобразовательных организаций</t>
  </si>
  <si>
    <t>Основное мероприятие 2.3. "Создание условий для получения качественного общего рбразования"</t>
  </si>
  <si>
    <t>2.3.1.</t>
  </si>
  <si>
    <t>Создание в общеобразовательных организациях условий для занятия физической культурой и спортом</t>
  </si>
  <si>
    <t>Создание условий, соответствующих требовнаиям ФГОС общего образования</t>
  </si>
  <si>
    <t>2.3.2</t>
  </si>
  <si>
    <t>Обеспечение бесплатным питанием детей, обучающихся в муниципальных общеобразовательных организациях</t>
  </si>
  <si>
    <t>Развитие системы школьного питания, сдействующей сохранению и укреплению здоровья детей</t>
  </si>
  <si>
    <t>2.3.3</t>
  </si>
  <si>
    <t xml:space="preserve">Организация и обеспечение оздоровления и отдыха детей </t>
  </si>
  <si>
    <t>Увеличение доли обучающихся общеобразовательных учреждений, охваченных различными видами отдыха, оздоровления и занятости, от общего числа обучающихся муниципальных общеобразовательных учреждений в возрасте от 7 до 17 лет с 88,7 % в 2019 году до 90,0 % к 2024 году.</t>
  </si>
  <si>
    <t>3</t>
  </si>
  <si>
    <t>Основное мероприятие 3.1." Обеспечение деятельности учреждений дополнительного образования"</t>
  </si>
  <si>
    <t>3.1.1.</t>
  </si>
  <si>
    <t>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</si>
  <si>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Создание условий, соответствующих требованиям реализации дополнительных общеобразовательных программ</t>
  </si>
  <si>
    <t>1.3.,4.1.</t>
  </si>
  <si>
    <t>3.1.2.</t>
  </si>
  <si>
    <t>Обеспечение деятельности (оказание услуг, выполнение работ) муниципальных организаий дополнительного образования детей</t>
  </si>
  <si>
    <t>Улучшение условий получения образования, обеспечение доступности образования, повышения качества образования</t>
  </si>
  <si>
    <t>3.1.3.</t>
  </si>
  <si>
    <t>Оснащение муниципальных  образовательных организаций недвижимым  и особо ценным движимым имуществом</t>
  </si>
  <si>
    <t>Укрепление материально-технической базы организаций дополнительного образования</t>
  </si>
  <si>
    <t>3.1.4.</t>
  </si>
  <si>
    <t xml:space="preserve">Обеспечение спортивным инвентарем, спортивным оборудованием и спортивными транспортными средствами </t>
  </si>
  <si>
    <t>3.1.5</t>
  </si>
  <si>
    <t>Развитие спортивной инфраструктуры, находящейся в муниципальной собственности</t>
  </si>
  <si>
    <t>Основное мероприятие 3.2. "Мероприятия не связанные  с образовательным процессом"</t>
  </si>
  <si>
    <t>3.2.1.</t>
  </si>
  <si>
    <t>Программно-техническое обслуживание сети Интернет</t>
  </si>
  <si>
    <t>Обеспечение доступа в сеть Интернет (100%)</t>
  </si>
  <si>
    <t>3.2.2</t>
  </si>
  <si>
    <t>3.2.3</t>
  </si>
  <si>
    <t>3.3</t>
  </si>
  <si>
    <t>Основное мероприятие 3.3."Обеспечение персонифицированного финансирования дополнительного образования детей"</t>
  </si>
  <si>
    <t xml:space="preserve">Дальнейшее развитие системы дополнительного образования в целях обеспечения  равной доступности качественного дополнительного образования для детей </t>
  </si>
  <si>
    <t>4</t>
  </si>
  <si>
    <t>Отдельные мероприятия</t>
  </si>
  <si>
    <t>Основное мероприятие 4.1."Обеспечение деятельности инфраструктуры образовательных организаций"</t>
  </si>
  <si>
    <t xml:space="preserve">Управление  образования Администрации Ханкайского муниципального округа, </t>
  </si>
  <si>
    <t>4.1.1.</t>
  </si>
  <si>
    <t>Руководство и управление в  сфере установленных функций органов местного самоуправления</t>
  </si>
  <si>
    <t>Улучшение реализации управленческих функций в сфере образования</t>
  </si>
  <si>
    <t>1.1.,1.2.,1.3.2.2., 3.1., 4.1.</t>
  </si>
  <si>
    <t>4.1.2.</t>
  </si>
  <si>
    <t>Обеспечение деятельности (оказание услуг, выполнение работ) муниципальных учреждений</t>
  </si>
  <si>
    <t>Обеспечение деятельности образовательных организаций Ханкайского муниципального округа</t>
  </si>
  <si>
    <t>4.1.3.</t>
  </si>
  <si>
    <t>Оснащение муниципальных учреждений недвижимым  и особо ценным движимым имуществом</t>
  </si>
  <si>
    <t>Укрепление материально-технической базы  учреждений</t>
  </si>
  <si>
    <t>4.1.4</t>
  </si>
  <si>
    <t>Обеспечение деятельности (оказание услуг, выполнение работ) муниципальных автономных  организаций</t>
  </si>
  <si>
    <t>Обеспечение питанием учащихся общеобразовательных организаций</t>
  </si>
  <si>
    <t xml:space="preserve"> 3.1.</t>
  </si>
  <si>
    <t>Основное мероприятие  4.2. "Мероприятия для детей и молодежи"</t>
  </si>
  <si>
    <t>4.2.1.</t>
  </si>
  <si>
    <t>Мероприятия для детей и учащейся молодежи, направленных на патриотическое и духовно-нравственное воспитание,формирование здорового образажизни, интеллектуальную и творческую деятельность</t>
  </si>
  <si>
    <t>Выявление и поддержка талантливых детей и учащейся молодежи</t>
  </si>
  <si>
    <t>4.3.</t>
  </si>
  <si>
    <t xml:space="preserve">Обеспечение мер социальной поддержки педагогическим работникам </t>
  </si>
  <si>
    <t>4.3.1.</t>
  </si>
  <si>
    <t>Обеспечение мер социальной поддержки педагогическим работникам муниципальных образовательных организаций</t>
  </si>
  <si>
    <t>Привлечение и сохранение кадрового потенциала</t>
  </si>
  <si>
    <t>Источники ресурсного обеспечения</t>
  </si>
  <si>
    <t>Оценка расходов (тыс.руб.),годы</t>
  </si>
  <si>
    <t>Всего</t>
  </si>
  <si>
    <t>всего</t>
  </si>
  <si>
    <t xml:space="preserve">федеральный бюджет </t>
  </si>
  <si>
    <t xml:space="preserve">краевой бюджет </t>
  </si>
  <si>
    <t>бюджет Ханкайского муниципального района</t>
  </si>
  <si>
    <t>иные внебюджетные источники</t>
  </si>
  <si>
    <t>1.2.9</t>
  </si>
  <si>
    <t>Мероприятия по  обустройству прилегающих территорий образовательных учреждений</t>
  </si>
  <si>
    <t>Основное мероприятие  1.3."Меры поддержки семей, имеющих детей</t>
  </si>
  <si>
    <t>1.4</t>
  </si>
  <si>
    <t>Федеральный проект "содействие занятости женщин-создание условий дошкольного образования для  детей в возрасте до трех лет</t>
  </si>
  <si>
    <t>1.4.1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</si>
  <si>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</si>
  <si>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2.1.3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</si>
  <si>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</si>
  <si>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2.1.4</t>
  </si>
  <si>
    <t xml:space="preserve"> Обеспечению горячим питанием обучающихся, получающих начальное общее образование в муниципальных общеобразовательных организациях Приморского края </t>
  </si>
  <si>
    <t>Мероприятия по профилактике правонарушений</t>
  </si>
  <si>
    <t>2.4</t>
  </si>
  <si>
    <t>2.4.1</t>
  </si>
  <si>
    <t>Мероприятия по созданию в общеобразовательных организациях условий для занятий физической культурой и спортом</t>
  </si>
  <si>
    <t>Обеспечение деятельности (оказание услуг, выполнение работ) муниципальных организаций дополнительного образования детей</t>
  </si>
  <si>
    <t>3.1.5.</t>
  </si>
  <si>
    <t>3.2.4</t>
  </si>
  <si>
    <t>бюджет Ханкайского муницип.</t>
  </si>
  <si>
    <t>3.2.5</t>
  </si>
  <si>
    <t>Основное мероприятие 3.3." Обеспечение персонифицированного финансирования дополнительного образования детей"</t>
  </si>
  <si>
    <t>Федеральный проект "Спорт норма жизни"</t>
  </si>
  <si>
    <t>Мероприятия, направленные на оснащение объектов спортивной инфраструктуры спортивно-технологическим оборудованием</t>
  </si>
  <si>
    <t>Код бюджетной классификации</t>
  </si>
  <si>
    <t>Расходы (тыс.руб.), годы</t>
  </si>
  <si>
    <t>ГРБС</t>
  </si>
  <si>
    <t>РзПр</t>
  </si>
  <si>
    <t>ЦСР</t>
  </si>
  <si>
    <t>ВР</t>
  </si>
  <si>
    <t>Управление  образования Администрации Ханкайского муниципального округа</t>
  </si>
  <si>
    <t>0700</t>
  </si>
  <si>
    <t>0100000000</t>
  </si>
  <si>
    <t>000</t>
  </si>
  <si>
    <t>0701</t>
  </si>
  <si>
    <t>0110000000</t>
  </si>
  <si>
    <t>0111100000</t>
  </si>
  <si>
    <t>1.1.1.</t>
  </si>
  <si>
    <t>0111170020</t>
  </si>
  <si>
    <t>1.2</t>
  </si>
  <si>
    <t>0111200000</t>
  </si>
  <si>
    <t xml:space="preserve"> 01112S2020</t>
  </si>
  <si>
    <t>1.2.2.</t>
  </si>
  <si>
    <t>01112S2010</t>
  </si>
  <si>
    <t>1.2.3.</t>
  </si>
  <si>
    <t>011112L0270</t>
  </si>
  <si>
    <t>0111220020</t>
  </si>
  <si>
    <t>0111270060</t>
  </si>
  <si>
    <t>1.2.6.</t>
  </si>
  <si>
    <t>0111220600</t>
  </si>
  <si>
    <t>0111220040</t>
  </si>
  <si>
    <t>1.2.8</t>
  </si>
  <si>
    <t>0111270090</t>
  </si>
  <si>
    <t>011P2L2320</t>
  </si>
  <si>
    <t>0702</t>
  </si>
  <si>
    <t>0120000000</t>
  </si>
  <si>
    <t>0121100000</t>
  </si>
  <si>
    <t>0121170030</t>
  </si>
  <si>
    <t>2.1.2.</t>
  </si>
  <si>
    <t>0121120020</t>
  </si>
  <si>
    <t>0121200000</t>
  </si>
  <si>
    <t>01212S2040</t>
  </si>
  <si>
    <t>01212S2340</t>
  </si>
  <si>
    <t>0121220040</t>
  </si>
  <si>
    <t>2.2.4</t>
  </si>
  <si>
    <t>0707</t>
  </si>
  <si>
    <t>0121220050</t>
  </si>
  <si>
    <t>0121220400</t>
  </si>
  <si>
    <t>0121220600</t>
  </si>
  <si>
    <t>0121270060</t>
  </si>
  <si>
    <t>0121400000</t>
  </si>
  <si>
    <t>2.3.1</t>
  </si>
  <si>
    <t>012E250970</t>
  </si>
  <si>
    <t>3.</t>
  </si>
  <si>
    <t>0703</t>
  </si>
  <si>
    <t>0130000000</t>
  </si>
  <si>
    <t>0131100000</t>
  </si>
  <si>
    <t>3.1.1</t>
  </si>
  <si>
    <t>0131170050</t>
  </si>
  <si>
    <t>0131170040</t>
  </si>
  <si>
    <t>3.1.3</t>
  </si>
  <si>
    <t>Оснащение муниципальных образовательных организаций недвижимым  и особо ценным движимым имуществом</t>
  </si>
  <si>
    <t>0131170060</t>
  </si>
  <si>
    <t>3.1.4</t>
  </si>
  <si>
    <t>013P5S2630</t>
  </si>
  <si>
    <t>013P5S2190</t>
  </si>
  <si>
    <t>3.1.6</t>
  </si>
  <si>
    <t>013Р5L2280</t>
  </si>
  <si>
    <t>3.2.1</t>
  </si>
  <si>
    <t>0131220500</t>
  </si>
  <si>
    <t>0131220040</t>
  </si>
  <si>
    <t>0131220600</t>
  </si>
  <si>
    <t>0131220400</t>
  </si>
  <si>
    <t>0131370040</t>
  </si>
  <si>
    <t>0709</t>
  </si>
  <si>
    <t>0191100000</t>
  </si>
  <si>
    <t>0191110031</t>
  </si>
  <si>
    <t>0191110030</t>
  </si>
  <si>
    <t>4.1.2</t>
  </si>
  <si>
    <t>0191170010</t>
  </si>
  <si>
    <t>0191170060</t>
  </si>
  <si>
    <t>Обеспечение деятельности (оказание услуг, выполнение работ) муниципальных автономных организаций</t>
  </si>
  <si>
    <t>0191170070</t>
  </si>
  <si>
    <t>0191200000</t>
  </si>
  <si>
    <t>4.2.1</t>
  </si>
  <si>
    <t>0191220160</t>
  </si>
  <si>
    <t>Наименование муниципальной услуги(работы), показателя объема услуги (работы)</t>
  </si>
  <si>
    <t>Значение показателя объема муниципальной услуги (работы), чел.</t>
  </si>
  <si>
    <t>Расходы бюджета Ханкайского муниципального округа на оказание муниципальной услуги (выполнение работы), тыс.руб.</t>
  </si>
  <si>
    <t>Реализация основных общеобразовательных программ  дошкольного образования, численность детей, чел.</t>
  </si>
  <si>
    <t>Реализация основных общеобразовательных   программ начального общего, основного общего,среднего общего образования, численность учащихся, чел</t>
  </si>
  <si>
    <t xml:space="preserve">Реализация дополнительных общеобразовательных программ, численность детей      
</t>
  </si>
  <si>
    <t>Обеспечение питанием обучающихся общеобразовательных организаций  Ханкайского муниципального округа, численность учащихся</t>
  </si>
  <si>
    <t>Итого</t>
  </si>
  <si>
    <t>к постановлению Администрации Ханкайского</t>
  </si>
  <si>
    <t xml:space="preserve">Ханкайского муниципального округа </t>
  </si>
  <si>
    <t>2.2.8</t>
  </si>
  <si>
    <t>Мероприятия
по модернизации школьных систем образования</t>
  </si>
  <si>
    <t>01212L7500</t>
  </si>
  <si>
    <t>Мероприятия по капремонту зданий и  обустройству прилегающих территорий образовательных учреждений</t>
  </si>
  <si>
    <t>2.2.9</t>
  </si>
  <si>
    <t>Расходы на проведение текущего, капитального ремонта зданий и  помещений и обустройство прилегающей территории образовательных учреждений</t>
  </si>
  <si>
    <t>0121270090</t>
  </si>
  <si>
    <t>3.2.6</t>
  </si>
  <si>
    <t>0131270090</t>
  </si>
  <si>
    <t>Расходы на проведение текущего, капитального ремонта зданий и помещений и обустройство прилегающей территории   образовательных учреждений</t>
  </si>
  <si>
    <t xml:space="preserve">Расходы на проведение текущего, капитального ремонта зданий и  помещений и обустройство прилегающей территории   образовательных учреждений  </t>
  </si>
  <si>
    <t>Приложение № 2  к муниципальной программе "Развитие образования в Ханкайском муниципальном округе" на 2020-2025 годы</t>
  </si>
  <si>
    <t>Приложение № 1 к муниципальной  программе "Развитие образования в Ханкайском муниципальном округе" на 2020-2025 годы</t>
  </si>
  <si>
    <t>Перечень показателей муниципальной программы "Развитие образования в Ханкайском муниципальном округе" на 2020-2025 годы</t>
  </si>
  <si>
    <t xml:space="preserve">1. Муниципальная программа «Развитие образования в Ханкайском муниципальном округе» на 2020 – 2025 годы
   </t>
  </si>
  <si>
    <t>2. Подпрограмма №1 «Развитие дошкольного образования в Ханкайском муниципальном округе» на 2020-2025 годы</t>
  </si>
  <si>
    <t xml:space="preserve">3. Подпрограмма №2 «Развитие системы общего образования в Ханкайском муниципальном округе»   на 2020-2025 годы                      </t>
  </si>
  <si>
    <t xml:space="preserve">4. Подпрограмма №3  «Развитие системы дополнительного образования в Ханкайском муниципальном округе»  на 2020-2025 годы                    </t>
  </si>
  <si>
    <t xml:space="preserve">"РАЗВИТИЕ ОБРАЗОВАНИЯ В ХАНКАЙСКОМ МУНИЦИПАЛЬНОМ ОКРУГЕ" НА 2020-2025 годы </t>
  </si>
  <si>
    <t>Муниципальная программа "Развитие образования в Ханкайском муниципальном округе" на 2020-2025 годы</t>
  </si>
  <si>
    <t>Подпрограмма №1 "Развитие дошкольного образования в Ханкайском муниципальном округе» на 2020-2025  годы</t>
  </si>
  <si>
    <t>Подпрограмма №2 «Развитие системы общего образования в Ханкайском муниципальном округе» на 2020-2025 годы</t>
  </si>
  <si>
    <t>Подпрограмма №3 «Развитие системы дополнительного образования в Ханкайском муниципальном округе» на 2020-2025 годы</t>
  </si>
  <si>
    <t>Приложение № 3  к муниципальной программе "Развитие образования в Ханкайском муниципальном округе" на 2020-2025 годы</t>
  </si>
  <si>
    <t>ПРОГНОЗ СВОДНЫХ ПОКАЗАТЕЛЕЙ МУНИЦИПАЛЬНЫХ ЗАДАНИЙ НА ОКАЗАНИЕ МУНИЦИПАЛЬНЫХ УСЛУГ (ВЫПОЛНЕНИЕ РАБОТ) МУНИЦИПАЛЬНЫМИ БЮДЖЕТНЫМИ, АВТОНОМНЫМИ  И КАЗЕННЫМИ УЧРЕЖДЕНИЯМИ ПО МУНИЦИПАЛЬНОЙ ПРОГРАММЕ "РАЗВИТИЕ ОБРАЗОВАНИЯ В ХАНКАЙСКОМ МУНИЦИПАЛЬНОМ ОКРУГЕ" НА 2020-2025 ГОДЫ</t>
  </si>
  <si>
    <t xml:space="preserve">от 2022      №                                                                      </t>
  </si>
  <si>
    <t xml:space="preserve">от 2022      № </t>
  </si>
  <si>
    <t xml:space="preserve">от    2022      № </t>
  </si>
  <si>
    <t>2.3.4</t>
  </si>
  <si>
    <t>Обеспечение бесплатным питанием детей военнослужащих, призванных по частичной мобилизации, обучающихся в муниципальных общеобразовательных организациях</t>
  </si>
  <si>
    <t>0121420610</t>
  </si>
  <si>
    <t>Приложение № 1</t>
  </si>
  <si>
    <t>3.5.</t>
  </si>
  <si>
    <t>2.2.10</t>
  </si>
  <si>
    <t>0121220055</t>
  </si>
  <si>
    <t>Мероприятия по организации и проведению мер, напарвленных на профилактику и предотвращение преступлений против половой неприкосновенности несовершеннолетних</t>
  </si>
  <si>
    <t>Мероприятия по организации и проведению мер, направленных на профилактику и предотвращение преступлений против половой неприкосновенности несовершеннолетних</t>
  </si>
  <si>
    <t>Доля несовершеннолетних, подвергшихся преступлениям против половой неприкосновенности</t>
  </si>
  <si>
    <t>Сокращение количества преступлений против половой неприкосновенности несовершеннолетних</t>
  </si>
  <si>
    <t>Приложение № 5  к муниципальной программе "Развитие образования в Ханкайском муниципальном округе" на 2020-2025 годы</t>
  </si>
  <si>
    <t>ИНФОРМАЦИЯ О РЕСУРСНОМ ОБЕСПЕЧЕНИИ МУНИЦИПАЛЬНОЙ ПРОГРАММЫ "РАЗВИТИЕ ОБРАЗОВАНИЯ В ХАНКАЙСКОМ МУНИЦИПАЛЬНОМ ОКРУГЕ" НА 2020-2025 годы  ЗА СЧЕТ СРЕДСТВ БЮДЖЕТА ХАНКАЙСКОГО МУНИЦИПАЛЬНОГО ОКРУГА И ПРОГНОЗНАЯ ОЦЕНКА ПРИВЛЕКАЕМЫХ НА РЕАЛИЗАЦИЮ ЕЕ ЦЕЛЕЙ СРЕДСТВ КРАЕВОГО И ФЕДЕРАЛЬНОГО БЮДЖЕТОВ, ИНЫХ ВНЕБЮДЖЕТНЫХ ИСТОЧНИКОВ</t>
  </si>
  <si>
    <t>Подпрограмма №1"Развитие дошкольного образования в Ханкайском муниципальном округе» на 2020-2025  годы</t>
  </si>
  <si>
    <t>Подпрограмма «Развитие системы общего образования в Ханкайском муниципальном округе» на 2020-2025 годы</t>
  </si>
  <si>
    <t>Подпрограмма «Развитие системы дополнительного образования в Ханкайском муниципальном округе» на 2020-2025 годы</t>
  </si>
  <si>
    <t>Приложение № 4  к муниципальной программе "Развитие образования в Ханкайском муниципальном округе" на 2020-2025 годы</t>
  </si>
  <si>
    <t>ИНФОРМАЦИЯ О  РЕСУРСНОМ ОБЕСПЕЧЕНИИ РЕАЛИЗАЦИИ МУНИЦИПАЛЬНОЙ ПРОГРАММЫ   "РАЗВИТИЕ ОБРАЗОВАНИЯ В ХАНКАЙСКОМ МУНИЦИПАЛЬНОМ ОКРУГЕ" НА 2020-2025 ГОДЫ ЗА СЧЕТ СРЕДСТВ БЮДЖЕТА ХАНКАЙСКОГО МУНИЦИПАЛЬНОГО ОКРУГА, (ТЫС. РУБ.).</t>
  </si>
  <si>
    <t>Подпрограмма "Развитие дошкольного образования в Ханкайском муниципальном округе» на 2020-2025  годы</t>
  </si>
  <si>
    <t>2.5</t>
  </si>
  <si>
    <t>2.5.1</t>
  </si>
  <si>
    <t>Региональный проект "Патриотическое воспитание граждан Российской Федерации</t>
  </si>
  <si>
    <t>Мероприятия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</si>
  <si>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r>
      <t xml:space="preserve">Доля </t>
    </r>
    <r>
      <rPr>
        <sz val="11"/>
        <rFont val="Times New Roman"/>
        <family val="1"/>
        <charset val="204"/>
      </rPr>
      <t>учащейся м</t>
    </r>
    <r>
      <rPr>
        <sz val="11"/>
        <color theme="1"/>
        <rFont val="Times New Roman"/>
        <family val="1"/>
        <charset val="204"/>
      </rPr>
      <t>олодежи, принявшей участие в мероприятиях, направленных на патриотическое и духовно-нравственное воспитание,формирование здорового образа жизни, интеллектуальную и творческую деятельность, от общей численности молодежи  от 7 до 18 лет на конец отчетного года</t>
    </r>
  </si>
  <si>
    <t>1.2.10</t>
  </si>
  <si>
    <t>Мероприятия на реализацию проектов инициативного бюджетирования по направлению "Твой проект"</t>
  </si>
  <si>
    <t>бюджет Ханкайс</t>
  </si>
  <si>
    <t>иные внебюджет</t>
  </si>
  <si>
    <t>011129S 2360</t>
  </si>
  <si>
    <t>Региональный проект "Современная школа"</t>
  </si>
  <si>
    <t>Региональный проект "Успех каждого ребенка"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</si>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</sst>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Border="1"/>
    <xf numFmtId="0" fontId="3" fillId="0" borderId="0" xfId="0" applyNumberFormat="1" applyFont="1" applyAlignment="1">
      <alignment horizontal="left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top" wrapText="1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vertical="top" wrapText="1"/>
    </xf>
    <xf numFmtId="0" fontId="5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/>
    </xf>
    <xf numFmtId="0" fontId="5" fillId="0" borderId="2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/>
    </xf>
    <xf numFmtId="0" fontId="5" fillId="0" borderId="6" xfId="0" applyFont="1" applyBorder="1"/>
    <xf numFmtId="164" fontId="2" fillId="0" borderId="1" xfId="0" applyNumberFormat="1" applyFont="1" applyFill="1" applyBorder="1" applyAlignment="1">
      <alignment horizontal="center" wrapText="1"/>
    </xf>
    <xf numFmtId="49" fontId="5" fillId="0" borderId="2" xfId="0" applyNumberFormat="1" applyFont="1" applyBorder="1" applyAlignment="1">
      <alignment horizontal="center" vertical="top"/>
    </xf>
    <xf numFmtId="0" fontId="5" fillId="0" borderId="7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/>
    </xf>
    <xf numFmtId="0" fontId="0" fillId="0" borderId="2" xfId="0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Border="1"/>
    <xf numFmtId="0" fontId="2" fillId="0" borderId="0" xfId="0" applyFont="1" applyAlignment="1">
      <alignment vertical="center"/>
    </xf>
    <xf numFmtId="4" fontId="9" fillId="0" borderId="0" xfId="0" applyNumberFormat="1" applyFont="1" applyFill="1"/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4" fillId="0" borderId="6" xfId="0" applyFont="1" applyFill="1" applyBorder="1"/>
    <xf numFmtId="4" fontId="14" fillId="0" borderId="0" xfId="0" applyNumberFormat="1" applyFont="1" applyFill="1" applyBorder="1" applyAlignment="1">
      <alignment horizontal="center"/>
    </xf>
    <xf numFmtId="0" fontId="14" fillId="0" borderId="6" xfId="0" applyFont="1" applyFill="1" applyBorder="1" applyAlignment="1">
      <alignment wrapText="1"/>
    </xf>
    <xf numFmtId="0" fontId="11" fillId="0" borderId="6" xfId="0" applyFont="1" applyFill="1" applyBorder="1"/>
    <xf numFmtId="4" fontId="11" fillId="0" borderId="0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0" fontId="7" fillId="0" borderId="0" xfId="0" applyFont="1" applyFill="1"/>
    <xf numFmtId="0" fontId="7" fillId="0" borderId="0" xfId="0" applyFont="1" applyFill="1" applyAlignment="1">
      <alignment wrapText="1"/>
    </xf>
    <xf numFmtId="0" fontId="17" fillId="0" borderId="4" xfId="0" applyFont="1" applyFill="1" applyBorder="1"/>
    <xf numFmtId="1" fontId="2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0" fontId="2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top"/>
    </xf>
    <xf numFmtId="0" fontId="6" fillId="0" borderId="1" xfId="0" applyFont="1" applyFill="1" applyBorder="1"/>
    <xf numFmtId="49" fontId="18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/>
    <xf numFmtId="49" fontId="2" fillId="0" borderId="2" xfId="0" applyNumberFormat="1" applyFont="1" applyFill="1" applyBorder="1"/>
    <xf numFmtId="49" fontId="2" fillId="0" borderId="7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4" fontId="2" fillId="0" borderId="1" xfId="0" applyNumberFormat="1" applyFont="1" applyFill="1" applyBorder="1"/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14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14" fillId="0" borderId="0" xfId="0" applyNumberFormat="1" applyFont="1" applyFill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/>
    </xf>
    <xf numFmtId="4" fontId="11" fillId="0" borderId="0" xfId="0" applyNumberFormat="1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/>
    <xf numFmtId="4" fontId="17" fillId="0" borderId="1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0" fontId="1" fillId="0" borderId="3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4" fontId="11" fillId="2" borderId="0" xfId="0" applyNumberFormat="1" applyFont="1" applyFill="1" applyBorder="1" applyAlignment="1">
      <alignment horizontal="center"/>
    </xf>
    <xf numFmtId="4" fontId="9" fillId="2" borderId="0" xfId="0" applyNumberFormat="1" applyFont="1" applyFill="1"/>
    <xf numFmtId="0" fontId="9" fillId="2" borderId="0" xfId="0" applyFont="1" applyFill="1"/>
    <xf numFmtId="49" fontId="11" fillId="0" borderId="7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wrapText="1"/>
    </xf>
    <xf numFmtId="16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9" fontId="2" fillId="0" borderId="2" xfId="0" applyNumberFormat="1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left" vertical="top" wrapText="1"/>
    </xf>
    <xf numFmtId="0" fontId="11" fillId="0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49" fontId="11" fillId="0" borderId="7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11" fillId="0" borderId="2" xfId="0" applyNumberFormat="1" applyFont="1" applyFill="1" applyBorder="1" applyAlignment="1">
      <alignment horizontal="center" vertical="top" wrapText="1"/>
    </xf>
    <xf numFmtId="0" fontId="11" fillId="0" borderId="7" xfId="0" applyNumberFormat="1" applyFont="1" applyFill="1" applyBorder="1" applyAlignment="1">
      <alignment horizontal="center" vertical="top" wrapText="1"/>
    </xf>
    <xf numFmtId="0" fontId="11" fillId="0" borderId="3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justify" vertical="top" wrapText="1"/>
    </xf>
    <xf numFmtId="0" fontId="14" fillId="0" borderId="7" xfId="0" applyFont="1" applyFill="1" applyBorder="1" applyAlignment="1">
      <alignment horizontal="justify" vertical="top" wrapText="1"/>
    </xf>
    <xf numFmtId="0" fontId="14" fillId="0" borderId="3" xfId="0" applyFont="1" applyFill="1" applyBorder="1" applyAlignment="1">
      <alignment horizontal="justify" vertical="top" wrapText="1"/>
    </xf>
    <xf numFmtId="0" fontId="11" fillId="0" borderId="2" xfId="0" applyFont="1" applyFill="1" applyBorder="1" applyAlignment="1">
      <alignment horizontal="justify" vertical="top" wrapText="1"/>
    </xf>
    <xf numFmtId="0" fontId="11" fillId="0" borderId="7" xfId="0" applyFont="1" applyFill="1" applyBorder="1" applyAlignment="1">
      <alignment horizontal="justify" vertical="top" wrapText="1"/>
    </xf>
    <xf numFmtId="0" fontId="11" fillId="0" borderId="3" xfId="0" applyFont="1" applyFill="1" applyBorder="1" applyAlignment="1">
      <alignment horizontal="justify" vertical="top" wrapText="1"/>
    </xf>
    <xf numFmtId="49" fontId="14" fillId="0" borderId="2" xfId="0" applyNumberFormat="1" applyFont="1" applyFill="1" applyBorder="1" applyAlignment="1">
      <alignment horizontal="center" vertical="top" wrapText="1"/>
    </xf>
    <xf numFmtId="49" fontId="14" fillId="0" borderId="7" xfId="0" applyNumberFormat="1" applyFont="1" applyFill="1" applyBorder="1" applyAlignment="1">
      <alignment horizontal="center" vertical="top" wrapText="1"/>
    </xf>
    <xf numFmtId="49" fontId="14" fillId="0" borderId="3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/>
    </xf>
    <xf numFmtId="49" fontId="11" fillId="0" borderId="2" xfId="0" applyNumberFormat="1" applyFont="1" applyFill="1" applyBorder="1" applyAlignment="1">
      <alignment horizontal="center" vertical="top"/>
    </xf>
    <xf numFmtId="49" fontId="11" fillId="0" borderId="7" xfId="0" applyNumberFormat="1" applyFont="1" applyFill="1" applyBorder="1" applyAlignment="1">
      <alignment horizontal="center" vertical="top"/>
    </xf>
    <xf numFmtId="49" fontId="11" fillId="0" borderId="3" xfId="0" applyNumberFormat="1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center" vertical="top"/>
    </xf>
    <xf numFmtId="49" fontId="14" fillId="0" borderId="7" xfId="0" applyNumberFormat="1" applyFont="1" applyFill="1" applyBorder="1" applyAlignment="1">
      <alignment horizontal="center" vertical="top"/>
    </xf>
    <xf numFmtId="49" fontId="14" fillId="0" borderId="3" xfId="0" applyNumberFormat="1" applyFont="1" applyFill="1" applyBorder="1" applyAlignment="1">
      <alignment horizontal="center" vertical="top"/>
    </xf>
    <xf numFmtId="49" fontId="14" fillId="0" borderId="1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view="pageBreakPreview" topLeftCell="A21" zoomScale="85" zoomScaleNormal="100" zoomScaleSheetLayoutView="85" workbookViewId="0">
      <selection activeCell="H33" sqref="H33"/>
    </sheetView>
  </sheetViews>
  <sheetFormatPr defaultRowHeight="14.4" x14ac:dyDescent="0.3"/>
  <cols>
    <col min="1" max="1" width="4.6640625" customWidth="1"/>
    <col min="2" max="2" width="87.33203125" customWidth="1"/>
    <col min="3" max="3" width="5.44140625" customWidth="1"/>
    <col min="4" max="4" width="9" customWidth="1"/>
    <col min="6" max="6" width="9.109375" style="15"/>
  </cols>
  <sheetData>
    <row r="1" spans="1:10" x14ac:dyDescent="0.3">
      <c r="C1" s="141"/>
      <c r="D1" s="207" t="s">
        <v>324</v>
      </c>
      <c r="E1" s="207"/>
      <c r="F1" s="207"/>
      <c r="G1" s="207"/>
      <c r="H1" s="207"/>
      <c r="I1" s="207"/>
    </row>
    <row r="2" spans="1:10" x14ac:dyDescent="0.3">
      <c r="C2" s="141"/>
      <c r="D2" s="207" t="s">
        <v>291</v>
      </c>
      <c r="E2" s="207"/>
      <c r="F2" s="207"/>
      <c r="G2" s="207"/>
      <c r="H2" s="207"/>
      <c r="I2" s="207"/>
    </row>
    <row r="3" spans="1:10" x14ac:dyDescent="0.3">
      <c r="C3" s="141"/>
      <c r="D3" s="207" t="s">
        <v>292</v>
      </c>
      <c r="E3" s="207"/>
      <c r="F3" s="207"/>
      <c r="G3" s="207"/>
      <c r="H3" s="207"/>
      <c r="I3" s="207"/>
    </row>
    <row r="4" spans="1:10" ht="18.75" customHeight="1" x14ac:dyDescent="0.3">
      <c r="D4" s="208" t="s">
        <v>318</v>
      </c>
      <c r="E4" s="209"/>
      <c r="F4" s="209"/>
      <c r="G4" s="209"/>
      <c r="H4" s="209"/>
      <c r="I4" s="210"/>
    </row>
    <row r="5" spans="1:10" ht="21.75" customHeight="1" x14ac:dyDescent="0.3">
      <c r="D5" s="209"/>
      <c r="E5" s="209"/>
      <c r="F5" s="209"/>
      <c r="G5" s="209"/>
      <c r="H5" s="209"/>
    </row>
    <row r="6" spans="1:10" ht="45.75" customHeight="1" x14ac:dyDescent="0.3">
      <c r="C6" s="218" t="s">
        <v>305</v>
      </c>
      <c r="D6" s="218"/>
      <c r="E6" s="218"/>
      <c r="F6" s="218"/>
      <c r="G6" s="218"/>
      <c r="H6" s="218"/>
      <c r="I6" s="218"/>
    </row>
    <row r="8" spans="1:10" ht="15.6" x14ac:dyDescent="0.3">
      <c r="A8" s="215" t="s">
        <v>306</v>
      </c>
      <c r="B8" s="215"/>
      <c r="C8" s="215"/>
      <c r="D8" s="215"/>
      <c r="E8" s="215"/>
      <c r="F8" s="215"/>
      <c r="G8" s="215"/>
      <c r="H8" s="215"/>
      <c r="I8" s="215"/>
    </row>
    <row r="10" spans="1:10" ht="17.399999999999999" customHeight="1" x14ac:dyDescent="0.3">
      <c r="A10" s="211" t="s">
        <v>1</v>
      </c>
      <c r="B10" s="211" t="s">
        <v>2</v>
      </c>
      <c r="C10" s="212" t="s">
        <v>19</v>
      </c>
      <c r="D10" s="211" t="s">
        <v>0</v>
      </c>
      <c r="E10" s="211"/>
      <c r="F10" s="211"/>
      <c r="G10" s="211"/>
      <c r="H10" s="211"/>
      <c r="I10" s="211"/>
      <c r="J10" s="211"/>
    </row>
    <row r="11" spans="1:10" ht="2.4" customHeight="1" x14ac:dyDescent="0.3">
      <c r="A11" s="211"/>
      <c r="B11" s="211"/>
      <c r="C11" s="213"/>
      <c r="D11" s="211"/>
      <c r="E11" s="211"/>
      <c r="F11" s="211"/>
      <c r="G11" s="211"/>
      <c r="H11" s="211"/>
      <c r="I11" s="211"/>
      <c r="J11" s="211"/>
    </row>
    <row r="12" spans="1:10" ht="24.6" customHeight="1" x14ac:dyDescent="0.3">
      <c r="A12" s="211"/>
      <c r="B12" s="211"/>
      <c r="C12" s="213"/>
      <c r="D12" s="214">
        <v>2019</v>
      </c>
      <c r="E12" s="214">
        <v>2020</v>
      </c>
      <c r="F12" s="216">
        <v>2021</v>
      </c>
      <c r="G12" s="214">
        <v>2022</v>
      </c>
      <c r="H12" s="214">
        <v>2023</v>
      </c>
      <c r="I12" s="214">
        <v>2024</v>
      </c>
      <c r="J12" s="214">
        <v>2025</v>
      </c>
    </row>
    <row r="13" spans="1:10" ht="14.4" hidden="1" customHeight="1" x14ac:dyDescent="0.3">
      <c r="A13" s="211"/>
      <c r="B13" s="211"/>
      <c r="C13" s="214"/>
      <c r="D13" s="211"/>
      <c r="E13" s="211"/>
      <c r="F13" s="217"/>
      <c r="G13" s="211"/>
      <c r="H13" s="211"/>
      <c r="I13" s="211"/>
      <c r="J13" s="211"/>
    </row>
    <row r="14" spans="1:10" x14ac:dyDescent="0.3">
      <c r="A14" s="169">
        <v>1</v>
      </c>
      <c r="B14" s="169">
        <v>2</v>
      </c>
      <c r="C14" s="169">
        <v>3</v>
      </c>
      <c r="D14" s="169">
        <v>4</v>
      </c>
      <c r="E14" s="169">
        <v>5</v>
      </c>
      <c r="F14" s="176">
        <v>6</v>
      </c>
      <c r="G14" s="169">
        <v>7</v>
      </c>
      <c r="H14" s="169">
        <v>8</v>
      </c>
      <c r="I14" s="169">
        <v>9</v>
      </c>
      <c r="J14" s="169">
        <v>10</v>
      </c>
    </row>
    <row r="15" spans="1:10" ht="14.4" customHeight="1" x14ac:dyDescent="0.3">
      <c r="A15" s="219" t="s">
        <v>307</v>
      </c>
      <c r="B15" s="219"/>
      <c r="C15" s="219"/>
      <c r="D15" s="219"/>
      <c r="E15" s="219"/>
      <c r="F15" s="219"/>
      <c r="G15" s="219"/>
      <c r="H15" s="219"/>
      <c r="I15" s="219"/>
      <c r="J15" s="219"/>
    </row>
    <row r="16" spans="1:10" ht="21" customHeight="1" x14ac:dyDescent="0.3">
      <c r="A16" s="170" t="s">
        <v>6</v>
      </c>
      <c r="B16" s="177" t="s">
        <v>26</v>
      </c>
      <c r="C16" s="171" t="s">
        <v>18</v>
      </c>
      <c r="D16" s="178">
        <v>72</v>
      </c>
      <c r="E16" s="178">
        <v>73</v>
      </c>
      <c r="F16" s="178">
        <v>74</v>
      </c>
      <c r="G16" s="178">
        <v>75</v>
      </c>
      <c r="H16" s="178">
        <v>76</v>
      </c>
      <c r="I16" s="178">
        <v>77</v>
      </c>
      <c r="J16" s="178">
        <v>77</v>
      </c>
    </row>
    <row r="17" spans="1:10" ht="23.25" customHeight="1" x14ac:dyDescent="0.3">
      <c r="A17" s="1" t="s">
        <v>7</v>
      </c>
      <c r="B17" s="10" t="s">
        <v>27</v>
      </c>
      <c r="C17" s="1" t="s">
        <v>18</v>
      </c>
      <c r="D17" s="9">
        <v>75</v>
      </c>
      <c r="E17" s="9">
        <v>76</v>
      </c>
      <c r="F17" s="8">
        <v>77</v>
      </c>
      <c r="G17" s="8">
        <v>78</v>
      </c>
      <c r="H17" s="8">
        <v>79</v>
      </c>
      <c r="I17" s="8">
        <v>80</v>
      </c>
      <c r="J17" s="8">
        <v>80</v>
      </c>
    </row>
    <row r="18" spans="1:10" ht="23.25" customHeight="1" x14ac:dyDescent="0.3">
      <c r="A18" s="1" t="s">
        <v>8</v>
      </c>
      <c r="B18" s="10" t="s">
        <v>28</v>
      </c>
      <c r="C18" s="1" t="s">
        <v>18</v>
      </c>
      <c r="D18" s="9">
        <v>77</v>
      </c>
      <c r="E18" s="9">
        <v>78</v>
      </c>
      <c r="F18" s="8">
        <v>79</v>
      </c>
      <c r="G18" s="9">
        <v>80</v>
      </c>
      <c r="H18" s="9">
        <v>81</v>
      </c>
      <c r="I18" s="9">
        <v>82</v>
      </c>
      <c r="J18" s="9">
        <v>82</v>
      </c>
    </row>
    <row r="19" spans="1:10" ht="48" customHeight="1" x14ac:dyDescent="0.3">
      <c r="A19" s="169" t="s">
        <v>9</v>
      </c>
      <c r="B19" s="179" t="s">
        <v>5</v>
      </c>
      <c r="C19" s="169" t="s">
        <v>18</v>
      </c>
      <c r="D19" s="180">
        <v>66.900000000000006</v>
      </c>
      <c r="E19" s="180">
        <v>68.599999999999994</v>
      </c>
      <c r="F19" s="181">
        <v>70.2</v>
      </c>
      <c r="G19" s="180">
        <v>71.900000000000006</v>
      </c>
      <c r="H19" s="180">
        <v>73.599999999999994</v>
      </c>
      <c r="I19" s="180">
        <v>75.3</v>
      </c>
      <c r="J19" s="180">
        <v>75.3</v>
      </c>
    </row>
    <row r="20" spans="1:10" ht="14.4" customHeight="1" x14ac:dyDescent="0.3">
      <c r="A20" s="219" t="s">
        <v>308</v>
      </c>
      <c r="B20" s="219"/>
      <c r="C20" s="219"/>
      <c r="D20" s="219"/>
      <c r="E20" s="219"/>
      <c r="F20" s="219"/>
      <c r="G20" s="219"/>
      <c r="H20" s="219"/>
      <c r="I20" s="219"/>
      <c r="J20" s="219"/>
    </row>
    <row r="21" spans="1:10" ht="93.75" customHeight="1" x14ac:dyDescent="0.3">
      <c r="A21" s="171" t="s">
        <v>10</v>
      </c>
      <c r="B21" s="7" t="s">
        <v>25</v>
      </c>
      <c r="C21" s="171" t="s">
        <v>18</v>
      </c>
      <c r="D21" s="178">
        <v>20.9</v>
      </c>
      <c r="E21" s="178">
        <v>23.1</v>
      </c>
      <c r="F21" s="178">
        <v>25.4</v>
      </c>
      <c r="G21" s="178">
        <v>24.5</v>
      </c>
      <c r="H21" s="178">
        <v>25.1</v>
      </c>
      <c r="I21" s="178">
        <v>25.1</v>
      </c>
      <c r="J21" s="178">
        <v>25.1</v>
      </c>
    </row>
    <row r="22" spans="1:10" ht="51" customHeight="1" x14ac:dyDescent="0.3">
      <c r="A22" s="4" t="s">
        <v>11</v>
      </c>
      <c r="B22" s="3" t="s">
        <v>20</v>
      </c>
      <c r="C22" s="4" t="s">
        <v>18</v>
      </c>
      <c r="D22" s="9">
        <v>41.8</v>
      </c>
      <c r="E22" s="9">
        <v>43.4</v>
      </c>
      <c r="F22" s="8">
        <v>44.4</v>
      </c>
      <c r="G22" s="9">
        <v>52.7</v>
      </c>
      <c r="H22" s="9">
        <v>54.7</v>
      </c>
      <c r="I22" s="9">
        <v>54.7</v>
      </c>
      <c r="J22" s="9">
        <v>54.7</v>
      </c>
    </row>
    <row r="23" spans="1:10" ht="41.4" hidden="1" x14ac:dyDescent="0.3">
      <c r="A23" s="169" t="s">
        <v>21</v>
      </c>
      <c r="B23" s="182" t="s">
        <v>22</v>
      </c>
      <c r="C23" s="169" t="s">
        <v>18</v>
      </c>
      <c r="D23" s="183"/>
      <c r="E23" s="183"/>
      <c r="F23" s="184"/>
      <c r="G23" s="183"/>
      <c r="H23" s="183"/>
      <c r="I23" s="183"/>
    </row>
    <row r="24" spans="1:10" ht="14.4" customHeight="1" x14ac:dyDescent="0.3">
      <c r="A24" s="219" t="s">
        <v>309</v>
      </c>
      <c r="B24" s="219"/>
      <c r="C24" s="219"/>
      <c r="D24" s="219"/>
      <c r="E24" s="219"/>
      <c r="F24" s="219"/>
      <c r="G24" s="219"/>
      <c r="H24" s="219"/>
      <c r="I24" s="219"/>
      <c r="J24" s="219"/>
    </row>
    <row r="25" spans="1:10" ht="49.5" customHeight="1" x14ac:dyDescent="0.3">
      <c r="A25" s="185" t="s">
        <v>12</v>
      </c>
      <c r="B25" s="186" t="s">
        <v>24</v>
      </c>
      <c r="C25" s="185" t="s">
        <v>18</v>
      </c>
      <c r="D25" s="187">
        <v>80.400000000000006</v>
      </c>
      <c r="E25" s="187">
        <v>80.400000000000006</v>
      </c>
      <c r="F25" s="178">
        <v>80.8</v>
      </c>
      <c r="G25" s="187">
        <v>81.3</v>
      </c>
      <c r="H25" s="187">
        <v>81.3</v>
      </c>
      <c r="I25" s="187">
        <v>81.3</v>
      </c>
      <c r="J25" s="187">
        <v>81.3</v>
      </c>
    </row>
    <row r="26" spans="1:10" ht="27.6" x14ac:dyDescent="0.3">
      <c r="A26" s="1" t="s">
        <v>13</v>
      </c>
      <c r="B26" s="3" t="s">
        <v>29</v>
      </c>
      <c r="C26" s="1" t="s">
        <v>18</v>
      </c>
      <c r="D26" s="9">
        <v>95.1</v>
      </c>
      <c r="E26" s="9">
        <v>95.3</v>
      </c>
      <c r="F26" s="8">
        <v>96.6</v>
      </c>
      <c r="G26" s="8">
        <v>96.6</v>
      </c>
      <c r="H26" s="8">
        <v>96.6</v>
      </c>
      <c r="I26" s="8">
        <v>97</v>
      </c>
      <c r="J26" s="8">
        <v>97</v>
      </c>
    </row>
    <row r="27" spans="1:10" ht="43.5" customHeight="1" x14ac:dyDescent="0.3">
      <c r="A27" s="2" t="s">
        <v>14</v>
      </c>
      <c r="B27" s="3" t="s">
        <v>3</v>
      </c>
      <c r="C27" s="2" t="s">
        <v>18</v>
      </c>
      <c r="D27" s="9">
        <v>88.7</v>
      </c>
      <c r="E27" s="9">
        <v>89.7</v>
      </c>
      <c r="F27" s="8">
        <v>90</v>
      </c>
      <c r="G27" s="9">
        <v>38.799999999999997</v>
      </c>
      <c r="H27" s="9">
        <v>39.1</v>
      </c>
      <c r="I27" s="9">
        <v>39.1</v>
      </c>
      <c r="J27" s="9">
        <v>39.1</v>
      </c>
    </row>
    <row r="28" spans="1:10" ht="60" customHeight="1" x14ac:dyDescent="0.3">
      <c r="A28" s="169" t="s">
        <v>15</v>
      </c>
      <c r="B28" s="194" t="s">
        <v>344</v>
      </c>
      <c r="C28" s="176" t="s">
        <v>18</v>
      </c>
      <c r="D28" s="188">
        <v>93.5</v>
      </c>
      <c r="E28" s="188">
        <v>93.9</v>
      </c>
      <c r="F28" s="188">
        <v>94.1</v>
      </c>
      <c r="G28" s="188">
        <v>94.3</v>
      </c>
      <c r="H28" s="188">
        <v>94.5</v>
      </c>
      <c r="I28" s="188">
        <v>94.7</v>
      </c>
      <c r="J28" s="188">
        <v>94.7</v>
      </c>
    </row>
    <row r="29" spans="1:10" ht="60" customHeight="1" x14ac:dyDescent="0.3">
      <c r="A29" s="201" t="s">
        <v>325</v>
      </c>
      <c r="B29" s="202" t="s">
        <v>330</v>
      </c>
      <c r="C29" s="176" t="s">
        <v>18</v>
      </c>
      <c r="D29" s="203" t="s">
        <v>34</v>
      </c>
      <c r="E29" s="203" t="s">
        <v>34</v>
      </c>
      <c r="F29" s="203" t="s">
        <v>34</v>
      </c>
      <c r="G29" s="188">
        <v>0.08</v>
      </c>
      <c r="H29" s="188">
        <v>0.05</v>
      </c>
      <c r="I29" s="188">
        <v>0.05</v>
      </c>
      <c r="J29" s="188">
        <v>0.05</v>
      </c>
    </row>
    <row r="30" spans="1:10" ht="14.4" customHeight="1" x14ac:dyDescent="0.3">
      <c r="A30" s="219" t="s">
        <v>310</v>
      </c>
      <c r="B30" s="219"/>
      <c r="C30" s="219"/>
      <c r="D30" s="219"/>
      <c r="E30" s="219"/>
      <c r="F30" s="219"/>
      <c r="G30" s="219"/>
      <c r="H30" s="219"/>
      <c r="I30" s="219"/>
      <c r="J30" s="219"/>
    </row>
    <row r="31" spans="1:10" s="15" customFormat="1" ht="66" customHeight="1" x14ac:dyDescent="0.3">
      <c r="A31" s="189" t="s">
        <v>16</v>
      </c>
      <c r="B31" s="190" t="s">
        <v>4</v>
      </c>
      <c r="C31" s="189" t="s">
        <v>18</v>
      </c>
      <c r="D31" s="178">
        <v>86.5</v>
      </c>
      <c r="E31" s="178">
        <v>87</v>
      </c>
      <c r="F31" s="178">
        <v>58</v>
      </c>
      <c r="G31" s="178">
        <v>74</v>
      </c>
      <c r="H31" s="178">
        <v>74</v>
      </c>
      <c r="I31" s="178">
        <v>63.5</v>
      </c>
      <c r="J31" s="178">
        <v>63.5</v>
      </c>
    </row>
    <row r="32" spans="1:10" s="15" customFormat="1" ht="41.4" hidden="1" customHeight="1" x14ac:dyDescent="0.3">
      <c r="A32" s="16" t="s">
        <v>17</v>
      </c>
      <c r="B32" s="17" t="s">
        <v>23</v>
      </c>
      <c r="C32" s="16" t="s">
        <v>18</v>
      </c>
      <c r="D32" s="11"/>
      <c r="E32" s="11"/>
      <c r="F32" s="11"/>
      <c r="G32" s="11"/>
      <c r="H32" s="11"/>
      <c r="I32" s="11"/>
      <c r="J32" s="11"/>
    </row>
    <row r="33" spans="1:10" s="15" customFormat="1" ht="62.4" x14ac:dyDescent="0.3">
      <c r="A33" s="18" t="s">
        <v>30</v>
      </c>
      <c r="B33" s="21" t="s">
        <v>32</v>
      </c>
      <c r="C33" s="12" t="s">
        <v>18</v>
      </c>
      <c r="D33" s="19" t="s">
        <v>34</v>
      </c>
      <c r="E33" s="19" t="s">
        <v>34</v>
      </c>
      <c r="F33" s="12">
        <v>100</v>
      </c>
      <c r="G33" s="12">
        <v>100</v>
      </c>
      <c r="H33" s="12">
        <v>100</v>
      </c>
      <c r="I33" s="12">
        <v>100</v>
      </c>
      <c r="J33" s="12">
        <v>100</v>
      </c>
    </row>
    <row r="34" spans="1:10" s="15" customFormat="1" ht="31.2" x14ac:dyDescent="0.3">
      <c r="A34" s="18" t="s">
        <v>31</v>
      </c>
      <c r="B34" s="20" t="s">
        <v>33</v>
      </c>
      <c r="C34" s="12" t="s">
        <v>18</v>
      </c>
      <c r="D34" s="19" t="s">
        <v>34</v>
      </c>
      <c r="E34" s="19" t="s">
        <v>34</v>
      </c>
      <c r="F34" s="12">
        <v>5</v>
      </c>
      <c r="G34" s="12">
        <v>5</v>
      </c>
      <c r="H34" s="12">
        <v>7</v>
      </c>
      <c r="I34" s="12">
        <v>10</v>
      </c>
      <c r="J34" s="12">
        <v>10</v>
      </c>
    </row>
    <row r="35" spans="1:10" x14ac:dyDescent="0.3">
      <c r="A35" s="5"/>
      <c r="B35" s="5"/>
      <c r="C35" s="5"/>
      <c r="D35" s="5"/>
      <c r="E35" s="5"/>
      <c r="F35" s="13"/>
      <c r="G35" s="5"/>
      <c r="H35" s="5"/>
      <c r="I35" s="5"/>
      <c r="J35" s="15"/>
    </row>
    <row r="36" spans="1:10" x14ac:dyDescent="0.3">
      <c r="A36" s="5"/>
      <c r="B36" s="5"/>
      <c r="C36" s="5"/>
      <c r="D36" s="5"/>
      <c r="E36" s="5"/>
      <c r="F36" s="13"/>
      <c r="G36" s="5"/>
      <c r="H36" s="5"/>
      <c r="I36" s="5"/>
    </row>
    <row r="37" spans="1:10" x14ac:dyDescent="0.3">
      <c r="A37" s="5"/>
      <c r="B37" s="5"/>
      <c r="C37" s="5"/>
      <c r="D37" s="5"/>
      <c r="E37" s="5"/>
      <c r="F37" s="13"/>
      <c r="G37" s="5"/>
      <c r="H37" s="5"/>
      <c r="I37" s="5"/>
    </row>
    <row r="38" spans="1:10" x14ac:dyDescent="0.3">
      <c r="A38" s="5"/>
      <c r="B38" s="5"/>
      <c r="C38" s="5"/>
      <c r="D38" s="5"/>
      <c r="E38" s="5"/>
      <c r="F38" s="13"/>
      <c r="G38" s="5"/>
      <c r="H38" s="5"/>
      <c r="I38" s="5"/>
    </row>
    <row r="39" spans="1:10" x14ac:dyDescent="0.3">
      <c r="A39" s="5"/>
      <c r="B39" s="5"/>
      <c r="C39" s="5"/>
      <c r="D39" s="5"/>
      <c r="E39" s="5"/>
      <c r="F39" s="13"/>
      <c r="G39" s="5"/>
      <c r="H39" s="5"/>
      <c r="I39" s="5"/>
    </row>
    <row r="40" spans="1:10" x14ac:dyDescent="0.3">
      <c r="A40" s="5"/>
      <c r="B40" s="5"/>
      <c r="C40" s="5"/>
      <c r="D40" s="5"/>
      <c r="E40" s="5"/>
      <c r="F40" s="13"/>
      <c r="G40" s="5"/>
      <c r="H40" s="5"/>
      <c r="I40" s="5"/>
    </row>
    <row r="41" spans="1:10" x14ac:dyDescent="0.3">
      <c r="A41" s="6"/>
      <c r="B41" s="6"/>
      <c r="C41" s="6"/>
      <c r="D41" s="6"/>
      <c r="E41" s="6"/>
      <c r="F41" s="14"/>
      <c r="G41" s="6"/>
      <c r="H41" s="6"/>
      <c r="I41" s="6"/>
    </row>
  </sheetData>
  <mergeCells count="22">
    <mergeCell ref="D10:J11"/>
    <mergeCell ref="A15:J15"/>
    <mergeCell ref="A20:J20"/>
    <mergeCell ref="A24:J24"/>
    <mergeCell ref="A30:J30"/>
    <mergeCell ref="J12:J13"/>
    <mergeCell ref="D2:I2"/>
    <mergeCell ref="D3:I3"/>
    <mergeCell ref="D4:I4"/>
    <mergeCell ref="D1:I1"/>
    <mergeCell ref="A10:A13"/>
    <mergeCell ref="B10:B13"/>
    <mergeCell ref="C10:C13"/>
    <mergeCell ref="E12:E13"/>
    <mergeCell ref="D12:D13"/>
    <mergeCell ref="H12:H13"/>
    <mergeCell ref="I12:I13"/>
    <mergeCell ref="D5:H5"/>
    <mergeCell ref="A8:I8"/>
    <mergeCell ref="F12:F13"/>
    <mergeCell ref="G12:G13"/>
    <mergeCell ref="C6:I6"/>
  </mergeCells>
  <pageMargins left="0.7" right="0.7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view="pageBreakPreview" zoomScale="85" zoomScaleNormal="80" zoomScaleSheetLayoutView="85" workbookViewId="0">
      <selection activeCell="D2" sqref="D2:G2"/>
    </sheetView>
  </sheetViews>
  <sheetFormatPr defaultRowHeight="14.4" x14ac:dyDescent="0.3"/>
  <cols>
    <col min="1" max="1" width="6.88671875" customWidth="1"/>
    <col min="2" max="2" width="54.33203125" customWidth="1"/>
    <col min="3" max="3" width="30.33203125" customWidth="1"/>
    <col min="4" max="4" width="14.109375" customWidth="1"/>
    <col min="5" max="5" width="13.6640625" customWidth="1"/>
    <col min="6" max="6" width="82.109375" customWidth="1"/>
    <col min="7" max="7" width="16.6640625" customWidth="1"/>
  </cols>
  <sheetData>
    <row r="1" spans="1:7" x14ac:dyDescent="0.3">
      <c r="C1" s="141"/>
      <c r="D1" s="207" t="s">
        <v>304</v>
      </c>
      <c r="E1" s="207"/>
      <c r="F1" s="207"/>
      <c r="G1" s="207"/>
    </row>
    <row r="2" spans="1:7" x14ac:dyDescent="0.3">
      <c r="C2" s="141"/>
      <c r="D2" s="207" t="s">
        <v>291</v>
      </c>
      <c r="E2" s="207"/>
      <c r="F2" s="207"/>
      <c r="G2" s="207"/>
    </row>
    <row r="3" spans="1:7" x14ac:dyDescent="0.3">
      <c r="C3" s="141"/>
      <c r="D3" s="207" t="s">
        <v>292</v>
      </c>
      <c r="E3" s="207"/>
      <c r="F3" s="207"/>
      <c r="G3" s="207"/>
    </row>
    <row r="4" spans="1:7" ht="18.75" customHeight="1" x14ac:dyDescent="0.3">
      <c r="D4" s="208" t="s">
        <v>319</v>
      </c>
      <c r="E4" s="208"/>
      <c r="F4" s="208"/>
      <c r="G4" s="208"/>
    </row>
    <row r="5" spans="1:7" ht="3.75" customHeight="1" x14ac:dyDescent="0.3">
      <c r="D5" s="208"/>
      <c r="E5" s="208"/>
      <c r="F5" s="208"/>
      <c r="G5" s="208"/>
    </row>
    <row r="6" spans="1:7" ht="11.25" customHeight="1" x14ac:dyDescent="0.3">
      <c r="D6" s="220" t="s">
        <v>304</v>
      </c>
      <c r="E6" s="220"/>
      <c r="F6" s="220"/>
      <c r="G6" s="220"/>
    </row>
    <row r="7" spans="1:7" ht="10.5" customHeight="1" x14ac:dyDescent="0.3">
      <c r="D7" s="220"/>
      <c r="E7" s="220"/>
      <c r="F7" s="220"/>
      <c r="G7" s="220"/>
    </row>
    <row r="8" spans="1:7" ht="16.5" customHeight="1" x14ac:dyDescent="0.3">
      <c r="D8" s="220"/>
      <c r="E8" s="220"/>
      <c r="F8" s="220"/>
      <c r="G8" s="220"/>
    </row>
    <row r="9" spans="1:7" ht="18" customHeight="1" x14ac:dyDescent="0.3">
      <c r="D9" s="220"/>
      <c r="E9" s="220"/>
      <c r="F9" s="220"/>
      <c r="G9" s="220"/>
    </row>
    <row r="11" spans="1:7" ht="10.5" customHeight="1" x14ac:dyDescent="0.3">
      <c r="A11" s="221" t="s">
        <v>35</v>
      </c>
      <c r="B11" s="221"/>
      <c r="C11" s="221"/>
      <c r="D11" s="221"/>
      <c r="E11" s="221"/>
      <c r="F11" s="221"/>
      <c r="G11" s="221"/>
    </row>
    <row r="12" spans="1:7" ht="15" customHeight="1" x14ac:dyDescent="0.3">
      <c r="A12" s="221"/>
      <c r="B12" s="221"/>
      <c r="C12" s="221"/>
      <c r="D12" s="221"/>
      <c r="E12" s="221"/>
      <c r="F12" s="221"/>
      <c r="G12" s="221"/>
    </row>
    <row r="13" spans="1:7" ht="15" customHeight="1" x14ac:dyDescent="0.3">
      <c r="A13" s="221"/>
      <c r="B13" s="221"/>
      <c r="C13" s="221"/>
      <c r="D13" s="221"/>
      <c r="E13" s="221"/>
      <c r="F13" s="221"/>
      <c r="G13" s="221"/>
    </row>
    <row r="14" spans="1:7" ht="15" customHeight="1" x14ac:dyDescent="0.3">
      <c r="A14" s="221"/>
      <c r="B14" s="221"/>
      <c r="C14" s="221"/>
      <c r="D14" s="221"/>
      <c r="E14" s="221"/>
      <c r="F14" s="221"/>
      <c r="G14" s="221"/>
    </row>
    <row r="15" spans="1:7" ht="0.75" customHeight="1" x14ac:dyDescent="0.3">
      <c r="A15" s="221"/>
      <c r="B15" s="221"/>
      <c r="C15" s="221"/>
      <c r="D15" s="221"/>
      <c r="E15" s="221"/>
      <c r="F15" s="221"/>
      <c r="G15" s="221"/>
    </row>
    <row r="16" spans="1:7" ht="10.5" hidden="1" customHeight="1" x14ac:dyDescent="0.3">
      <c r="A16" s="221"/>
      <c r="B16" s="221"/>
      <c r="C16" s="221"/>
      <c r="D16" s="221"/>
      <c r="E16" s="221"/>
      <c r="F16" s="221"/>
      <c r="G16" s="221"/>
    </row>
    <row r="17" spans="1:7" ht="31.5" customHeight="1" x14ac:dyDescent="0.3">
      <c r="A17" s="22"/>
      <c r="B17" s="222" t="s">
        <v>311</v>
      </c>
      <c r="C17" s="222"/>
      <c r="D17" s="222"/>
      <c r="E17" s="222"/>
      <c r="F17" s="222"/>
      <c r="G17" s="222"/>
    </row>
    <row r="18" spans="1:7" ht="15.6" x14ac:dyDescent="0.3">
      <c r="A18" s="23"/>
      <c r="B18" s="23"/>
      <c r="C18" s="23"/>
      <c r="D18" s="23"/>
      <c r="E18" s="23"/>
    </row>
    <row r="19" spans="1:7" ht="21.75" customHeight="1" x14ac:dyDescent="0.3">
      <c r="A19" s="24" t="s">
        <v>36</v>
      </c>
      <c r="B19" s="223" t="s">
        <v>37</v>
      </c>
      <c r="C19" s="223" t="s">
        <v>38</v>
      </c>
      <c r="D19" s="224" t="s">
        <v>39</v>
      </c>
      <c r="E19" s="224"/>
      <c r="F19" s="225" t="s">
        <v>40</v>
      </c>
      <c r="G19" s="225" t="s">
        <v>41</v>
      </c>
    </row>
    <row r="20" spans="1:7" ht="45" customHeight="1" x14ac:dyDescent="0.3">
      <c r="A20" s="24"/>
      <c r="B20" s="223"/>
      <c r="C20" s="223"/>
      <c r="D20" s="25" t="s">
        <v>42</v>
      </c>
      <c r="E20" s="25" t="s">
        <v>43</v>
      </c>
      <c r="F20" s="225"/>
      <c r="G20" s="225"/>
    </row>
    <row r="21" spans="1:7" ht="22.5" customHeight="1" x14ac:dyDescent="0.3">
      <c r="A21" s="26"/>
      <c r="B21" s="234" t="s">
        <v>312</v>
      </c>
      <c r="C21" s="234"/>
      <c r="D21" s="234"/>
      <c r="E21" s="234"/>
      <c r="F21" s="234"/>
      <c r="G21" s="234"/>
    </row>
    <row r="22" spans="1:7" ht="20.25" customHeight="1" x14ac:dyDescent="0.3">
      <c r="A22" s="27" t="s">
        <v>44</v>
      </c>
      <c r="B22" s="234" t="s">
        <v>313</v>
      </c>
      <c r="C22" s="234"/>
      <c r="D22" s="234"/>
      <c r="E22" s="234"/>
      <c r="F22" s="234"/>
      <c r="G22" s="234"/>
    </row>
    <row r="23" spans="1:7" ht="51" customHeight="1" x14ac:dyDescent="0.3">
      <c r="A23" s="28" t="s">
        <v>6</v>
      </c>
      <c r="B23" s="29" t="s">
        <v>45</v>
      </c>
      <c r="C23" s="235" t="s">
        <v>46</v>
      </c>
      <c r="D23" s="30">
        <v>2020</v>
      </c>
      <c r="E23" s="30">
        <v>2025</v>
      </c>
      <c r="F23" s="31"/>
      <c r="G23" s="31"/>
    </row>
    <row r="24" spans="1:7" ht="52.5" customHeight="1" x14ac:dyDescent="0.3">
      <c r="A24" s="28" t="s">
        <v>47</v>
      </c>
      <c r="B24" s="32" t="s">
        <v>48</v>
      </c>
      <c r="C24" s="236"/>
      <c r="D24" s="30">
        <v>2020</v>
      </c>
      <c r="E24" s="30">
        <v>2025</v>
      </c>
      <c r="F24" s="33" t="s">
        <v>49</v>
      </c>
      <c r="G24" s="34" t="s">
        <v>50</v>
      </c>
    </row>
    <row r="25" spans="1:7" ht="40.5" customHeight="1" x14ac:dyDescent="0.3">
      <c r="A25" s="28" t="s">
        <v>7</v>
      </c>
      <c r="B25" s="29" t="s">
        <v>51</v>
      </c>
      <c r="C25" s="236"/>
      <c r="D25" s="30">
        <v>2020</v>
      </c>
      <c r="E25" s="30">
        <v>2025</v>
      </c>
      <c r="F25" s="34"/>
      <c r="G25" s="34"/>
    </row>
    <row r="26" spans="1:7" ht="67.5" customHeight="1" x14ac:dyDescent="0.3">
      <c r="A26" s="28" t="s">
        <v>52</v>
      </c>
      <c r="B26" s="32" t="s">
        <v>53</v>
      </c>
      <c r="C26" s="236"/>
      <c r="D26" s="30">
        <v>2020</v>
      </c>
      <c r="E26" s="30">
        <v>2025</v>
      </c>
      <c r="F26" s="35" t="s">
        <v>54</v>
      </c>
      <c r="G26" s="34" t="s">
        <v>6</v>
      </c>
    </row>
    <row r="27" spans="1:7" ht="88.5" customHeight="1" x14ac:dyDescent="0.3">
      <c r="A27" s="28" t="s">
        <v>55</v>
      </c>
      <c r="B27" s="32" t="s">
        <v>56</v>
      </c>
      <c r="C27" s="236"/>
      <c r="D27" s="30">
        <v>2020</v>
      </c>
      <c r="E27" s="30">
        <v>2025</v>
      </c>
      <c r="F27" s="36" t="s">
        <v>57</v>
      </c>
      <c r="G27" s="34" t="s">
        <v>58</v>
      </c>
    </row>
    <row r="28" spans="1:7" ht="35.25" customHeight="1" x14ac:dyDescent="0.3">
      <c r="A28" s="28" t="s">
        <v>59</v>
      </c>
      <c r="B28" s="32" t="s">
        <v>60</v>
      </c>
      <c r="C28" s="236"/>
      <c r="D28" s="30">
        <v>2020</v>
      </c>
      <c r="E28" s="30">
        <v>2025</v>
      </c>
      <c r="F28" s="36" t="s">
        <v>61</v>
      </c>
      <c r="G28" s="34" t="s">
        <v>50</v>
      </c>
    </row>
    <row r="29" spans="1:7" ht="44.25" customHeight="1" x14ac:dyDescent="0.3">
      <c r="A29" s="37" t="s">
        <v>62</v>
      </c>
      <c r="B29" s="32" t="s">
        <v>63</v>
      </c>
      <c r="C29" s="236"/>
      <c r="D29" s="30">
        <v>2020</v>
      </c>
      <c r="E29" s="30">
        <v>2025</v>
      </c>
      <c r="F29" s="36" t="s">
        <v>61</v>
      </c>
      <c r="G29" s="34" t="s">
        <v>50</v>
      </c>
    </row>
    <row r="30" spans="1:7" ht="49.5" customHeight="1" x14ac:dyDescent="0.3">
      <c r="A30" s="38" t="s">
        <v>64</v>
      </c>
      <c r="B30" s="39" t="s">
        <v>65</v>
      </c>
      <c r="C30" s="236"/>
      <c r="D30" s="30">
        <v>2020</v>
      </c>
      <c r="E30" s="30">
        <v>2025</v>
      </c>
      <c r="F30" s="33" t="s">
        <v>66</v>
      </c>
      <c r="G30" s="34" t="s">
        <v>50</v>
      </c>
    </row>
    <row r="31" spans="1:7" ht="37.5" customHeight="1" x14ac:dyDescent="0.3">
      <c r="A31" s="38" t="s">
        <v>67</v>
      </c>
      <c r="B31" s="32" t="s">
        <v>68</v>
      </c>
      <c r="C31" s="236"/>
      <c r="D31" s="30">
        <v>2020</v>
      </c>
      <c r="E31" s="30">
        <v>2025</v>
      </c>
      <c r="F31" s="40" t="s">
        <v>69</v>
      </c>
      <c r="G31" s="34" t="s">
        <v>11</v>
      </c>
    </row>
    <row r="32" spans="1:7" ht="33.75" customHeight="1" x14ac:dyDescent="0.3">
      <c r="A32" s="38" t="s">
        <v>70</v>
      </c>
      <c r="B32" s="39" t="s">
        <v>71</v>
      </c>
      <c r="C32" s="236"/>
      <c r="D32" s="30">
        <v>2020</v>
      </c>
      <c r="E32" s="30">
        <v>2025</v>
      </c>
      <c r="F32" s="40" t="s">
        <v>72</v>
      </c>
      <c r="G32" s="34" t="s">
        <v>11</v>
      </c>
    </row>
    <row r="33" spans="1:7" ht="21" customHeight="1" x14ac:dyDescent="0.3">
      <c r="A33" s="38" t="s">
        <v>73</v>
      </c>
      <c r="B33" s="39" t="s">
        <v>74</v>
      </c>
      <c r="C33" s="236"/>
      <c r="D33" s="30">
        <v>2020</v>
      </c>
      <c r="E33" s="30">
        <v>2025</v>
      </c>
      <c r="F33" s="41" t="s">
        <v>75</v>
      </c>
      <c r="G33" s="34" t="s">
        <v>11</v>
      </c>
    </row>
    <row r="34" spans="1:7" ht="15.6" x14ac:dyDescent="0.3">
      <c r="A34" s="38" t="s">
        <v>76</v>
      </c>
      <c r="B34" s="42" t="s">
        <v>77</v>
      </c>
      <c r="C34" s="236"/>
      <c r="D34" s="30">
        <v>2020</v>
      </c>
      <c r="E34" s="30">
        <v>2025</v>
      </c>
      <c r="F34" s="34"/>
      <c r="G34" s="34"/>
    </row>
    <row r="35" spans="1:7" ht="52.5" customHeight="1" x14ac:dyDescent="0.3">
      <c r="A35" s="38" t="s">
        <v>78</v>
      </c>
      <c r="B35" s="39" t="s">
        <v>79</v>
      </c>
      <c r="C35" s="237"/>
      <c r="D35" s="30">
        <v>2020</v>
      </c>
      <c r="E35" s="30">
        <v>2025</v>
      </c>
      <c r="F35" s="40" t="s">
        <v>80</v>
      </c>
      <c r="G35" s="34" t="s">
        <v>11</v>
      </c>
    </row>
    <row r="36" spans="1:7" ht="27" customHeight="1" x14ac:dyDescent="0.3">
      <c r="A36" s="27" t="s">
        <v>81</v>
      </c>
      <c r="B36" s="238" t="s">
        <v>314</v>
      </c>
      <c r="C36" s="239"/>
      <c r="D36" s="239"/>
      <c r="E36" s="239"/>
      <c r="F36" s="239"/>
      <c r="G36" s="240"/>
    </row>
    <row r="37" spans="1:7" ht="48.75" customHeight="1" x14ac:dyDescent="0.3">
      <c r="A37" s="43" t="s">
        <v>10</v>
      </c>
      <c r="B37" s="42" t="s">
        <v>82</v>
      </c>
      <c r="C37" s="241" t="s">
        <v>83</v>
      </c>
      <c r="D37" s="30">
        <v>2020</v>
      </c>
      <c r="E37" s="30">
        <v>2025</v>
      </c>
      <c r="F37" s="44"/>
      <c r="G37" s="44"/>
    </row>
    <row r="38" spans="1:7" ht="56.25" customHeight="1" x14ac:dyDescent="0.3">
      <c r="A38" s="28" t="s">
        <v>84</v>
      </c>
      <c r="B38" s="32" t="s">
        <v>85</v>
      </c>
      <c r="C38" s="242"/>
      <c r="D38" s="30">
        <v>2020</v>
      </c>
      <c r="E38" s="30">
        <v>2025</v>
      </c>
      <c r="F38" s="33" t="s">
        <v>49</v>
      </c>
      <c r="G38" s="34" t="s">
        <v>86</v>
      </c>
    </row>
    <row r="39" spans="1:7" ht="36" customHeight="1" x14ac:dyDescent="0.3">
      <c r="A39" s="38" t="s">
        <v>87</v>
      </c>
      <c r="B39" s="39" t="s">
        <v>88</v>
      </c>
      <c r="C39" s="242"/>
      <c r="D39" s="30">
        <v>2020</v>
      </c>
      <c r="E39" s="30">
        <v>2025</v>
      </c>
      <c r="F39" s="36" t="s">
        <v>89</v>
      </c>
      <c r="G39" s="34" t="s">
        <v>86</v>
      </c>
    </row>
    <row r="40" spans="1:7" ht="39.75" customHeight="1" x14ac:dyDescent="0.3">
      <c r="A40" s="38" t="s">
        <v>11</v>
      </c>
      <c r="B40" s="42" t="s">
        <v>90</v>
      </c>
      <c r="C40" s="242"/>
      <c r="D40" s="30">
        <v>2020</v>
      </c>
      <c r="E40" s="30">
        <v>2025</v>
      </c>
      <c r="F40" s="45"/>
      <c r="G40" s="44"/>
    </row>
    <row r="41" spans="1:7" ht="37.5" customHeight="1" x14ac:dyDescent="0.3">
      <c r="A41" s="38" t="s">
        <v>91</v>
      </c>
      <c r="B41" s="39" t="s">
        <v>92</v>
      </c>
      <c r="C41" s="242"/>
      <c r="D41" s="30">
        <v>2020</v>
      </c>
      <c r="E41" s="30">
        <v>2025</v>
      </c>
      <c r="F41" s="36" t="s">
        <v>89</v>
      </c>
      <c r="G41" s="34" t="s">
        <v>12</v>
      </c>
    </row>
    <row r="42" spans="1:7" ht="36.75" customHeight="1" x14ac:dyDescent="0.3">
      <c r="A42" s="38" t="s">
        <v>93</v>
      </c>
      <c r="B42" s="39" t="s">
        <v>94</v>
      </c>
      <c r="C42" s="242"/>
      <c r="D42" s="30">
        <v>2020</v>
      </c>
      <c r="E42" s="30">
        <v>2025</v>
      </c>
      <c r="F42" s="35" t="s">
        <v>95</v>
      </c>
      <c r="G42" s="34" t="s">
        <v>96</v>
      </c>
    </row>
    <row r="43" spans="1:7" ht="42.75" customHeight="1" x14ac:dyDescent="0.3">
      <c r="A43" s="38" t="s">
        <v>97</v>
      </c>
      <c r="B43" s="39" t="s">
        <v>71</v>
      </c>
      <c r="C43" s="243"/>
      <c r="D43" s="30">
        <v>2020</v>
      </c>
      <c r="E43" s="30">
        <v>2025</v>
      </c>
      <c r="F43" s="33" t="s">
        <v>72</v>
      </c>
      <c r="G43" s="34" t="s">
        <v>12</v>
      </c>
    </row>
    <row r="44" spans="1:7" ht="162" customHeight="1" x14ac:dyDescent="0.3">
      <c r="A44" s="38" t="s">
        <v>98</v>
      </c>
      <c r="B44" s="46" t="s">
        <v>99</v>
      </c>
      <c r="C44" s="47" t="s">
        <v>100</v>
      </c>
      <c r="D44" s="48">
        <v>2020</v>
      </c>
      <c r="E44" s="30">
        <v>2025</v>
      </c>
      <c r="F44" s="35" t="s">
        <v>101</v>
      </c>
      <c r="G44" s="49" t="s">
        <v>14</v>
      </c>
    </row>
    <row r="45" spans="1:7" ht="27.75" customHeight="1" x14ac:dyDescent="0.3">
      <c r="A45" s="38" t="s">
        <v>102</v>
      </c>
      <c r="B45" s="46" t="s">
        <v>74</v>
      </c>
      <c r="C45" s="244" t="s">
        <v>83</v>
      </c>
      <c r="D45" s="48">
        <v>2020</v>
      </c>
      <c r="E45" s="30">
        <v>2025</v>
      </c>
      <c r="F45" s="50" t="s">
        <v>75</v>
      </c>
      <c r="G45" s="49" t="s">
        <v>12</v>
      </c>
    </row>
    <row r="46" spans="1:7" ht="30.75" customHeight="1" x14ac:dyDescent="0.3">
      <c r="A46" s="38" t="s">
        <v>103</v>
      </c>
      <c r="B46" s="46" t="s">
        <v>104</v>
      </c>
      <c r="C46" s="245"/>
      <c r="D46" s="48">
        <v>2020</v>
      </c>
      <c r="E46" s="30">
        <v>2025</v>
      </c>
      <c r="F46" s="35" t="s">
        <v>69</v>
      </c>
      <c r="G46" s="49" t="s">
        <v>12</v>
      </c>
    </row>
    <row r="47" spans="1:7" ht="51.75" customHeight="1" x14ac:dyDescent="0.3">
      <c r="A47" s="28" t="s">
        <v>105</v>
      </c>
      <c r="B47" s="51" t="s">
        <v>106</v>
      </c>
      <c r="C47" s="246"/>
      <c r="D47" s="48">
        <v>2020</v>
      </c>
      <c r="E47" s="30">
        <v>2025</v>
      </c>
      <c r="F47" s="50" t="s">
        <v>107</v>
      </c>
      <c r="G47" s="34" t="s">
        <v>86</v>
      </c>
    </row>
    <row r="48" spans="1:7" ht="163.19999999999999" customHeight="1" x14ac:dyDescent="0.3">
      <c r="A48" s="147" t="s">
        <v>326</v>
      </c>
      <c r="B48" s="51" t="s">
        <v>328</v>
      </c>
      <c r="C48" s="200" t="s">
        <v>100</v>
      </c>
      <c r="D48" s="48">
        <v>2020</v>
      </c>
      <c r="E48" s="48">
        <v>2025</v>
      </c>
      <c r="F48" s="35" t="s">
        <v>331</v>
      </c>
      <c r="G48" s="49" t="s">
        <v>325</v>
      </c>
    </row>
    <row r="49" spans="1:7" ht="52.5" customHeight="1" x14ac:dyDescent="0.3">
      <c r="A49" s="52" t="s">
        <v>21</v>
      </c>
      <c r="B49" s="53" t="s">
        <v>108</v>
      </c>
      <c r="C49" s="245" t="s">
        <v>83</v>
      </c>
      <c r="D49" s="48">
        <v>2020</v>
      </c>
      <c r="E49" s="30">
        <v>2025</v>
      </c>
      <c r="F49" s="44"/>
      <c r="G49" s="44"/>
    </row>
    <row r="50" spans="1:7" ht="39.75" customHeight="1" x14ac:dyDescent="0.3">
      <c r="A50" s="38" t="s">
        <v>109</v>
      </c>
      <c r="B50" s="46" t="s">
        <v>110</v>
      </c>
      <c r="C50" s="247"/>
      <c r="D50" s="48">
        <v>2020</v>
      </c>
      <c r="E50" s="30">
        <v>2025</v>
      </c>
      <c r="F50" s="35" t="s">
        <v>111</v>
      </c>
      <c r="G50" s="34" t="s">
        <v>86</v>
      </c>
    </row>
    <row r="51" spans="1:7" ht="48.75" customHeight="1" x14ac:dyDescent="0.3">
      <c r="A51" s="28" t="s">
        <v>112</v>
      </c>
      <c r="B51" s="51" t="s">
        <v>113</v>
      </c>
      <c r="C51" s="247"/>
      <c r="D51" s="48">
        <v>2020</v>
      </c>
      <c r="E51" s="30">
        <v>2025</v>
      </c>
      <c r="F51" s="35" t="s">
        <v>114</v>
      </c>
      <c r="G51" s="49" t="s">
        <v>12</v>
      </c>
    </row>
    <row r="52" spans="1:7" ht="69" customHeight="1" x14ac:dyDescent="0.3">
      <c r="A52" s="28" t="s">
        <v>115</v>
      </c>
      <c r="B52" s="51" t="s">
        <v>116</v>
      </c>
      <c r="C52" s="248"/>
      <c r="D52" s="48">
        <v>2020</v>
      </c>
      <c r="E52" s="30">
        <v>2025</v>
      </c>
      <c r="F52" s="35" t="s">
        <v>117</v>
      </c>
      <c r="G52" s="49" t="s">
        <v>14</v>
      </c>
    </row>
    <row r="53" spans="1:7" ht="21.75" customHeight="1" x14ac:dyDescent="0.3">
      <c r="A53" s="52" t="s">
        <v>118</v>
      </c>
      <c r="B53" s="226" t="s">
        <v>315</v>
      </c>
      <c r="C53" s="227"/>
      <c r="D53" s="227"/>
      <c r="E53" s="227"/>
      <c r="F53" s="227"/>
      <c r="G53" s="228"/>
    </row>
    <row r="54" spans="1:7" ht="57.75" customHeight="1" x14ac:dyDescent="0.3">
      <c r="A54" s="38" t="s">
        <v>12</v>
      </c>
      <c r="B54" s="54" t="s">
        <v>119</v>
      </c>
      <c r="C54" s="229" t="s">
        <v>83</v>
      </c>
      <c r="D54" s="48">
        <v>2020</v>
      </c>
      <c r="E54" s="30">
        <v>2025</v>
      </c>
      <c r="F54" s="44"/>
      <c r="G54" s="44"/>
    </row>
    <row r="55" spans="1:7" ht="68.25" customHeight="1" x14ac:dyDescent="0.3">
      <c r="A55" s="38" t="s">
        <v>120</v>
      </c>
      <c r="B55" s="46" t="s">
        <v>121</v>
      </c>
      <c r="C55" s="230"/>
      <c r="D55" s="48">
        <v>2020</v>
      </c>
      <c r="E55" s="30">
        <v>2025</v>
      </c>
      <c r="F55" s="35" t="s">
        <v>122</v>
      </c>
      <c r="G55" s="49" t="s">
        <v>123</v>
      </c>
    </row>
    <row r="56" spans="1:7" ht="46.5" customHeight="1" x14ac:dyDescent="0.3">
      <c r="A56" s="28" t="s">
        <v>124</v>
      </c>
      <c r="B56" s="51" t="s">
        <v>125</v>
      </c>
      <c r="C56" s="230"/>
      <c r="D56" s="48">
        <v>2020</v>
      </c>
      <c r="E56" s="30">
        <v>2025</v>
      </c>
      <c r="F56" s="35" t="s">
        <v>126</v>
      </c>
      <c r="G56" s="49" t="s">
        <v>123</v>
      </c>
    </row>
    <row r="57" spans="1:7" ht="55.5" customHeight="1" x14ac:dyDescent="0.3">
      <c r="A57" s="55" t="s">
        <v>127</v>
      </c>
      <c r="B57" s="51" t="s">
        <v>128</v>
      </c>
      <c r="C57" s="230"/>
      <c r="D57" s="48">
        <v>2020</v>
      </c>
      <c r="E57" s="30">
        <v>2025</v>
      </c>
      <c r="F57" s="35" t="s">
        <v>129</v>
      </c>
      <c r="G57" s="49" t="s">
        <v>123</v>
      </c>
    </row>
    <row r="58" spans="1:7" ht="52.5" customHeight="1" x14ac:dyDescent="0.3">
      <c r="A58" s="55" t="s">
        <v>130</v>
      </c>
      <c r="B58" s="51" t="s">
        <v>131</v>
      </c>
      <c r="C58" s="230"/>
      <c r="D58" s="48">
        <v>2020</v>
      </c>
      <c r="E58" s="30">
        <v>2025</v>
      </c>
      <c r="F58" s="35" t="s">
        <v>129</v>
      </c>
      <c r="G58" s="49" t="s">
        <v>123</v>
      </c>
    </row>
    <row r="59" spans="1:7" ht="52.5" customHeight="1" x14ac:dyDescent="0.3">
      <c r="A59" s="56" t="s">
        <v>132</v>
      </c>
      <c r="B59" s="46" t="s">
        <v>133</v>
      </c>
      <c r="C59" s="230"/>
      <c r="D59" s="48">
        <v>2020</v>
      </c>
      <c r="E59" s="30">
        <v>2025</v>
      </c>
      <c r="F59" s="35" t="s">
        <v>122</v>
      </c>
      <c r="G59" s="49" t="s">
        <v>123</v>
      </c>
    </row>
    <row r="60" spans="1:7" ht="39" customHeight="1" x14ac:dyDescent="0.3">
      <c r="A60" s="56" t="s">
        <v>13</v>
      </c>
      <c r="B60" s="54" t="s">
        <v>134</v>
      </c>
      <c r="C60" s="230"/>
      <c r="D60" s="48">
        <v>2020</v>
      </c>
      <c r="E60" s="30">
        <v>2025</v>
      </c>
      <c r="F60" s="45"/>
      <c r="G60" s="44"/>
    </row>
    <row r="61" spans="1:7" ht="23.25" customHeight="1" x14ac:dyDescent="0.3">
      <c r="A61" s="55" t="s">
        <v>135</v>
      </c>
      <c r="B61" s="51" t="s">
        <v>136</v>
      </c>
      <c r="C61" s="230"/>
      <c r="D61" s="48">
        <v>2020</v>
      </c>
      <c r="E61" s="30">
        <v>2025</v>
      </c>
      <c r="F61" s="50" t="s">
        <v>137</v>
      </c>
      <c r="G61" s="49" t="s">
        <v>123</v>
      </c>
    </row>
    <row r="62" spans="1:7" ht="41.25" customHeight="1" x14ac:dyDescent="0.3">
      <c r="A62" s="55" t="s">
        <v>138</v>
      </c>
      <c r="B62" s="39" t="s">
        <v>71</v>
      </c>
      <c r="C62" s="230"/>
      <c r="D62" s="48">
        <v>2020</v>
      </c>
      <c r="E62" s="30">
        <v>2025</v>
      </c>
      <c r="F62" s="35" t="s">
        <v>72</v>
      </c>
      <c r="G62" s="49" t="s">
        <v>16</v>
      </c>
    </row>
    <row r="63" spans="1:7" ht="37.200000000000003" customHeight="1" x14ac:dyDescent="0.3">
      <c r="A63" s="55" t="s">
        <v>139</v>
      </c>
      <c r="B63" s="51" t="s">
        <v>104</v>
      </c>
      <c r="C63" s="231"/>
      <c r="D63" s="48">
        <v>2020</v>
      </c>
      <c r="E63" s="30">
        <v>2025</v>
      </c>
      <c r="F63" s="35" t="s">
        <v>69</v>
      </c>
      <c r="G63" s="49" t="s">
        <v>16</v>
      </c>
    </row>
    <row r="64" spans="1:7" ht="49.2" customHeight="1" x14ac:dyDescent="0.3">
      <c r="A64" s="55" t="s">
        <v>140</v>
      </c>
      <c r="B64" s="53" t="s">
        <v>141</v>
      </c>
      <c r="C64" s="57"/>
      <c r="D64" s="48">
        <v>2021</v>
      </c>
      <c r="E64" s="30">
        <v>2025</v>
      </c>
      <c r="F64" s="35" t="s">
        <v>142</v>
      </c>
      <c r="G64" s="49"/>
    </row>
    <row r="65" spans="1:7" ht="23.25" customHeight="1" x14ac:dyDescent="0.3">
      <c r="A65" s="58" t="s">
        <v>143</v>
      </c>
      <c r="B65" s="29" t="s">
        <v>144</v>
      </c>
      <c r="C65" s="59"/>
      <c r="D65" s="30"/>
      <c r="E65" s="30">
        <v>2025</v>
      </c>
      <c r="F65" s="31"/>
      <c r="G65" s="34"/>
    </row>
    <row r="66" spans="1:7" ht="45.75" customHeight="1" x14ac:dyDescent="0.3">
      <c r="A66" s="55" t="s">
        <v>16</v>
      </c>
      <c r="B66" s="53" t="s">
        <v>145</v>
      </c>
      <c r="C66" s="229" t="s">
        <v>146</v>
      </c>
      <c r="D66" s="48">
        <v>2020</v>
      </c>
      <c r="E66" s="30">
        <v>2025</v>
      </c>
      <c r="F66" s="44"/>
      <c r="G66" s="44"/>
    </row>
    <row r="67" spans="1:7" ht="37.5" customHeight="1" x14ac:dyDescent="0.3">
      <c r="A67" s="55" t="s">
        <v>147</v>
      </c>
      <c r="B67" s="51" t="s">
        <v>148</v>
      </c>
      <c r="C67" s="232"/>
      <c r="D67" s="48">
        <v>2020</v>
      </c>
      <c r="E67" s="30">
        <v>2025</v>
      </c>
      <c r="F67" s="50" t="s">
        <v>149</v>
      </c>
      <c r="G67" s="60" t="s">
        <v>150</v>
      </c>
    </row>
    <row r="68" spans="1:7" ht="41.25" customHeight="1" x14ac:dyDescent="0.3">
      <c r="A68" s="55" t="s">
        <v>151</v>
      </c>
      <c r="B68" s="51" t="s">
        <v>152</v>
      </c>
      <c r="C68" s="232"/>
      <c r="D68" s="48">
        <v>2020</v>
      </c>
      <c r="E68" s="30">
        <v>2025</v>
      </c>
      <c r="F68" s="35" t="s">
        <v>153</v>
      </c>
      <c r="G68" s="60" t="s">
        <v>150</v>
      </c>
    </row>
    <row r="69" spans="1:7" ht="37.5" customHeight="1" x14ac:dyDescent="0.3">
      <c r="A69" s="55" t="s">
        <v>154</v>
      </c>
      <c r="B69" s="51" t="s">
        <v>155</v>
      </c>
      <c r="C69" s="232"/>
      <c r="D69" s="48">
        <v>2020</v>
      </c>
      <c r="E69" s="30">
        <v>2025</v>
      </c>
      <c r="F69" s="35" t="s">
        <v>156</v>
      </c>
      <c r="G69" s="49" t="s">
        <v>12</v>
      </c>
    </row>
    <row r="70" spans="1:7" ht="55.5" customHeight="1" x14ac:dyDescent="0.3">
      <c r="A70" s="55" t="s">
        <v>157</v>
      </c>
      <c r="B70" s="51" t="s">
        <v>158</v>
      </c>
      <c r="C70" s="232"/>
      <c r="D70" s="48">
        <v>2020</v>
      </c>
      <c r="E70" s="30">
        <v>2025</v>
      </c>
      <c r="F70" s="50" t="s">
        <v>159</v>
      </c>
      <c r="G70" s="49" t="s">
        <v>160</v>
      </c>
    </row>
    <row r="71" spans="1:7" ht="40.5" customHeight="1" x14ac:dyDescent="0.3">
      <c r="A71" s="61" t="s">
        <v>17</v>
      </c>
      <c r="B71" s="62" t="s">
        <v>161</v>
      </c>
      <c r="C71" s="232"/>
      <c r="D71" s="48">
        <v>2020</v>
      </c>
      <c r="E71" s="30">
        <v>2025</v>
      </c>
      <c r="F71" s="45"/>
      <c r="G71" s="44"/>
    </row>
    <row r="72" spans="1:7" ht="78.75" customHeight="1" x14ac:dyDescent="0.3">
      <c r="A72" s="56" t="s">
        <v>162</v>
      </c>
      <c r="B72" s="63" t="s">
        <v>163</v>
      </c>
      <c r="C72" s="232"/>
      <c r="D72" s="48">
        <v>2020</v>
      </c>
      <c r="E72" s="30">
        <v>2025</v>
      </c>
      <c r="F72" s="64" t="s">
        <v>164</v>
      </c>
      <c r="G72" s="49" t="s">
        <v>15</v>
      </c>
    </row>
    <row r="73" spans="1:7" ht="35.25" customHeight="1" x14ac:dyDescent="0.3">
      <c r="A73" s="65" t="s">
        <v>165</v>
      </c>
      <c r="B73" s="66" t="s">
        <v>166</v>
      </c>
      <c r="C73" s="232"/>
      <c r="D73" s="48">
        <v>2020</v>
      </c>
      <c r="E73" s="30">
        <v>2025</v>
      </c>
      <c r="F73" s="67"/>
      <c r="G73" s="68"/>
    </row>
    <row r="74" spans="1:7" ht="50.25" customHeight="1" x14ac:dyDescent="0.3">
      <c r="A74" s="69" t="s">
        <v>167</v>
      </c>
      <c r="B74" s="63" t="s">
        <v>168</v>
      </c>
      <c r="C74" s="233"/>
      <c r="D74" s="48">
        <v>2020</v>
      </c>
      <c r="E74" s="30">
        <v>2025</v>
      </c>
      <c r="F74" s="50" t="s">
        <v>169</v>
      </c>
      <c r="G74" s="49" t="s">
        <v>9</v>
      </c>
    </row>
  </sheetData>
  <mergeCells count="22">
    <mergeCell ref="B53:G53"/>
    <mergeCell ref="C54:C63"/>
    <mergeCell ref="C66:C74"/>
    <mergeCell ref="B21:G21"/>
    <mergeCell ref="B22:G22"/>
    <mergeCell ref="C23:C35"/>
    <mergeCell ref="B36:G36"/>
    <mergeCell ref="C37:C43"/>
    <mergeCell ref="C45:C47"/>
    <mergeCell ref="C49:C52"/>
    <mergeCell ref="A11:G16"/>
    <mergeCell ref="B17:G17"/>
    <mergeCell ref="B19:B20"/>
    <mergeCell ref="C19:C20"/>
    <mergeCell ref="D19:E19"/>
    <mergeCell ref="F19:F20"/>
    <mergeCell ref="G19:G20"/>
    <mergeCell ref="D1:G1"/>
    <mergeCell ref="D2:G2"/>
    <mergeCell ref="D3:G3"/>
    <mergeCell ref="D4:G5"/>
    <mergeCell ref="D6:G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view="pageBreakPreview" topLeftCell="D10" zoomScale="85" zoomScaleNormal="80" zoomScaleSheetLayoutView="85" workbookViewId="0">
      <selection activeCell="G18" sqref="G18:H18"/>
    </sheetView>
  </sheetViews>
  <sheetFormatPr defaultColWidth="8.88671875" defaultRowHeight="14.4" x14ac:dyDescent="0.3"/>
  <cols>
    <col min="1" max="1" width="4.44140625" style="15" customWidth="1"/>
    <col min="2" max="2" width="36.5546875" style="15" customWidth="1"/>
    <col min="3" max="3" width="12" style="15" customWidth="1"/>
    <col min="4" max="4" width="11.5546875" style="15" customWidth="1"/>
    <col min="5" max="5" width="11.33203125" style="15" customWidth="1"/>
    <col min="6" max="6" width="11.88671875" style="15" customWidth="1"/>
    <col min="7" max="9" width="12.109375" style="15" customWidth="1"/>
    <col min="10" max="10" width="14.109375" style="15" customWidth="1"/>
    <col min="11" max="11" width="13.44140625" style="15" customWidth="1"/>
    <col min="12" max="12" width="14.6640625" style="15" customWidth="1"/>
    <col min="13" max="13" width="18.109375" style="15" customWidth="1"/>
    <col min="14" max="14" width="20.6640625" style="15" customWidth="1"/>
    <col min="15" max="16384" width="8.88671875" style="15"/>
  </cols>
  <sheetData>
    <row r="1" spans="1:14" customFormat="1" x14ac:dyDescent="0.3">
      <c r="C1" s="141"/>
      <c r="D1" s="15"/>
      <c r="E1" s="15"/>
      <c r="F1" s="15"/>
      <c r="G1" s="15"/>
      <c r="H1" s="15"/>
      <c r="J1" s="207" t="s">
        <v>324</v>
      </c>
      <c r="K1" s="210"/>
      <c r="L1" s="210"/>
      <c r="M1" s="210"/>
      <c r="N1" s="15"/>
    </row>
    <row r="2" spans="1:14" customFormat="1" x14ac:dyDescent="0.3">
      <c r="C2" s="141"/>
      <c r="D2" s="15"/>
      <c r="E2" s="15"/>
      <c r="F2" s="15"/>
      <c r="G2" s="15"/>
      <c r="H2" s="15"/>
      <c r="J2" s="207" t="s">
        <v>291</v>
      </c>
      <c r="K2" s="210"/>
      <c r="L2" s="210"/>
      <c r="M2" s="210"/>
      <c r="N2" s="15"/>
    </row>
    <row r="3" spans="1:14" customFormat="1" x14ac:dyDescent="0.3">
      <c r="C3" s="141"/>
      <c r="D3" s="15"/>
      <c r="E3" s="15"/>
      <c r="F3" s="15"/>
      <c r="G3" s="15"/>
      <c r="H3" s="15"/>
      <c r="J3" s="207" t="s">
        <v>292</v>
      </c>
      <c r="K3" s="210"/>
      <c r="L3" s="210"/>
      <c r="M3" s="210"/>
      <c r="N3" s="15"/>
    </row>
    <row r="4" spans="1:14" customFormat="1" x14ac:dyDescent="0.3">
      <c r="D4" s="15"/>
      <c r="E4" s="15"/>
      <c r="F4" s="15"/>
      <c r="G4" s="15"/>
      <c r="H4" s="15"/>
      <c r="J4" s="254" t="s">
        <v>320</v>
      </c>
      <c r="K4" s="209"/>
      <c r="L4" s="209"/>
      <c r="M4" s="209"/>
      <c r="N4" s="15"/>
    </row>
    <row r="5" spans="1:14" ht="15.6" x14ac:dyDescent="0.3">
      <c r="A5" s="132"/>
      <c r="B5" s="132"/>
      <c r="C5" s="132"/>
      <c r="D5" s="249" t="s">
        <v>316</v>
      </c>
      <c r="E5" s="249"/>
      <c r="F5" s="249"/>
      <c r="G5" s="249"/>
      <c r="H5" s="249"/>
      <c r="I5" s="249"/>
      <c r="J5" s="249"/>
      <c r="K5" s="249"/>
      <c r="L5" s="249"/>
      <c r="M5" s="249"/>
    </row>
    <row r="6" spans="1:14" ht="15.6" x14ac:dyDescent="0.3">
      <c r="A6" s="132"/>
      <c r="B6" s="132"/>
      <c r="C6" s="132"/>
      <c r="D6" s="249"/>
      <c r="E6" s="249"/>
      <c r="F6" s="249"/>
      <c r="G6" s="249"/>
      <c r="H6" s="249"/>
      <c r="I6" s="249"/>
      <c r="J6" s="249"/>
      <c r="K6" s="249"/>
      <c r="L6" s="249"/>
      <c r="M6" s="249"/>
    </row>
    <row r="7" spans="1:14" ht="15.6" x14ac:dyDescent="0.3">
      <c r="A7" s="132"/>
      <c r="B7" s="132"/>
      <c r="C7" s="132"/>
      <c r="D7" s="249"/>
      <c r="E7" s="249"/>
      <c r="F7" s="249"/>
      <c r="G7" s="249"/>
      <c r="H7" s="249"/>
      <c r="I7" s="249"/>
      <c r="J7" s="249"/>
      <c r="K7" s="249"/>
      <c r="L7" s="249"/>
      <c r="M7" s="249"/>
    </row>
    <row r="8" spans="1:14" ht="15.6" x14ac:dyDescent="0.3">
      <c r="A8" s="132"/>
      <c r="B8" s="132"/>
      <c r="C8" s="132"/>
      <c r="D8" s="249"/>
      <c r="E8" s="249"/>
      <c r="F8" s="249"/>
      <c r="G8" s="249"/>
      <c r="H8" s="249"/>
      <c r="I8" s="249"/>
      <c r="J8" s="249"/>
      <c r="K8" s="249"/>
      <c r="L8" s="249"/>
      <c r="M8" s="249"/>
    </row>
    <row r="9" spans="1:14" ht="15" customHeight="1" x14ac:dyDescent="0.3">
      <c r="A9" s="249" t="s">
        <v>317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</row>
    <row r="10" spans="1:14" ht="12" customHeight="1" x14ac:dyDescent="0.3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</row>
    <row r="11" spans="1:14" ht="15" customHeight="1" x14ac:dyDescent="0.3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</row>
    <row r="12" spans="1:14" ht="15" customHeight="1" x14ac:dyDescent="0.3">
      <c r="A12" s="249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</row>
    <row r="13" spans="1:14" ht="15.6" x14ac:dyDescent="0.3">
      <c r="A13" s="132"/>
      <c r="B13" s="132"/>
      <c r="C13" s="132"/>
      <c r="D13" s="132"/>
      <c r="E13" s="132"/>
      <c r="F13" s="132"/>
      <c r="G13" s="132"/>
      <c r="H13" s="132"/>
      <c r="I13" s="132"/>
    </row>
    <row r="14" spans="1:14" ht="15.6" customHeight="1" x14ac:dyDescent="0.3">
      <c r="A14" s="244" t="s">
        <v>36</v>
      </c>
      <c r="B14" s="229" t="s">
        <v>283</v>
      </c>
      <c r="C14" s="250" t="s">
        <v>284</v>
      </c>
      <c r="D14" s="251"/>
      <c r="E14" s="251"/>
      <c r="F14" s="251"/>
      <c r="G14" s="251"/>
      <c r="H14" s="252"/>
      <c r="I14" s="253" t="s">
        <v>285</v>
      </c>
      <c r="J14" s="253"/>
      <c r="K14" s="253"/>
      <c r="L14" s="253"/>
      <c r="M14" s="253"/>
      <c r="N14" s="253"/>
    </row>
    <row r="15" spans="1:14" ht="15.6" x14ac:dyDescent="0.3">
      <c r="A15" s="246"/>
      <c r="B15" s="231"/>
      <c r="C15" s="137">
        <v>2020</v>
      </c>
      <c r="D15" s="137">
        <v>2021</v>
      </c>
      <c r="E15" s="137">
        <v>2022</v>
      </c>
      <c r="F15" s="137">
        <v>2023</v>
      </c>
      <c r="G15" s="137">
        <v>2024</v>
      </c>
      <c r="H15" s="172">
        <v>2025</v>
      </c>
      <c r="I15" s="137">
        <v>2020</v>
      </c>
      <c r="J15" s="137">
        <v>2021</v>
      </c>
      <c r="K15" s="167">
        <v>2022</v>
      </c>
      <c r="L15" s="137">
        <v>2023</v>
      </c>
      <c r="M15" s="137">
        <v>2024</v>
      </c>
      <c r="N15" s="174">
        <v>2025</v>
      </c>
    </row>
    <row r="16" spans="1:14" ht="62.4" x14ac:dyDescent="0.3">
      <c r="A16" s="138">
        <v>1</v>
      </c>
      <c r="B16" s="20" t="s">
        <v>286</v>
      </c>
      <c r="C16" s="103">
        <v>744</v>
      </c>
      <c r="D16" s="103">
        <v>711</v>
      </c>
      <c r="E16" s="103">
        <v>713</v>
      </c>
      <c r="F16" s="103">
        <v>705</v>
      </c>
      <c r="G16" s="103">
        <v>705</v>
      </c>
      <c r="H16" s="103">
        <v>705</v>
      </c>
      <c r="I16" s="105">
        <f>'4'!H19</f>
        <v>42507.56</v>
      </c>
      <c r="J16" s="105">
        <f>'4'!I19</f>
        <v>42483.75</v>
      </c>
      <c r="K16" s="105">
        <f>'4'!J19</f>
        <v>45122.378689999896</v>
      </c>
      <c r="L16" s="105">
        <f>'4'!K19</f>
        <v>52633.669179999997</v>
      </c>
      <c r="M16" s="105">
        <f>'4'!L19</f>
        <v>48688.062090000007</v>
      </c>
      <c r="N16" s="105">
        <f>'4'!M19</f>
        <v>46664.655299999999</v>
      </c>
    </row>
    <row r="17" spans="1:14" ht="93.6" x14ac:dyDescent="0.3">
      <c r="A17" s="138">
        <v>2</v>
      </c>
      <c r="B17" s="20" t="s">
        <v>287</v>
      </c>
      <c r="C17" s="103">
        <v>2242</v>
      </c>
      <c r="D17" s="103">
        <v>2201</v>
      </c>
      <c r="E17" s="103">
        <v>2200</v>
      </c>
      <c r="F17" s="103">
        <v>2142</v>
      </c>
      <c r="G17" s="103">
        <v>2142</v>
      </c>
      <c r="H17" s="103">
        <v>2142</v>
      </c>
      <c r="I17" s="105">
        <f>'4'!H34</f>
        <v>88065.630000000019</v>
      </c>
      <c r="J17" s="105">
        <f>'4'!I34</f>
        <v>93259.809999999983</v>
      </c>
      <c r="K17" s="105">
        <f>'4'!J34</f>
        <v>98719.74384000001</v>
      </c>
      <c r="L17" s="105">
        <f>'4'!K34</f>
        <v>108130.53504</v>
      </c>
      <c r="M17" s="105">
        <f>'4'!L34</f>
        <v>99463.77115</v>
      </c>
      <c r="N17" s="105">
        <f>'4'!M34</f>
        <v>98732.900750000001</v>
      </c>
    </row>
    <row r="18" spans="1:14" ht="93.6" x14ac:dyDescent="0.3">
      <c r="A18" s="139">
        <v>3</v>
      </c>
      <c r="B18" s="140" t="s">
        <v>288</v>
      </c>
      <c r="C18" s="103">
        <v>924</v>
      </c>
      <c r="D18" s="103">
        <v>842</v>
      </c>
      <c r="E18" s="103">
        <v>744</v>
      </c>
      <c r="F18" s="103">
        <v>706</v>
      </c>
      <c r="G18" s="103">
        <v>706</v>
      </c>
      <c r="H18" s="103">
        <v>706</v>
      </c>
      <c r="I18" s="105">
        <f>'4'!H53</f>
        <v>21603.200000000001</v>
      </c>
      <c r="J18" s="105">
        <f>'4'!I53</f>
        <v>23284.740000000005</v>
      </c>
      <c r="K18" s="105">
        <f>'4'!J53</f>
        <v>24214.664689999998</v>
      </c>
      <c r="L18" s="105">
        <f>'4'!K53</f>
        <v>24935.323959999998</v>
      </c>
      <c r="M18" s="105">
        <f>'4'!L53</f>
        <v>24942.761999999999</v>
      </c>
      <c r="N18" s="105">
        <f>'4'!M53</f>
        <v>23440.29952</v>
      </c>
    </row>
    <row r="19" spans="1:14" ht="78" x14ac:dyDescent="0.3">
      <c r="A19" s="139">
        <v>4</v>
      </c>
      <c r="B19" s="20" t="s">
        <v>289</v>
      </c>
      <c r="C19" s="103">
        <v>1240</v>
      </c>
      <c r="D19" s="103">
        <v>1400</v>
      </c>
      <c r="E19" s="103">
        <v>1390</v>
      </c>
      <c r="F19" s="103">
        <v>1415</v>
      </c>
      <c r="G19" s="103">
        <v>1415</v>
      </c>
      <c r="H19" s="103">
        <v>1415</v>
      </c>
      <c r="I19" s="105">
        <f>'4'!H88</f>
        <v>2043.3989999999999</v>
      </c>
      <c r="J19" s="105">
        <f>'4'!I88</f>
        <v>2073.77</v>
      </c>
      <c r="K19" s="105">
        <f>'4'!J88</f>
        <v>2283.4047799999998</v>
      </c>
      <c r="L19" s="105">
        <f>'4'!K88</f>
        <v>2573.0050000000001</v>
      </c>
      <c r="M19" s="105">
        <f>'4'!L88</f>
        <v>2356.9</v>
      </c>
      <c r="N19" s="105">
        <f>'4'!M88</f>
        <v>2356.9</v>
      </c>
    </row>
    <row r="20" spans="1:14" ht="15.6" x14ac:dyDescent="0.3">
      <c r="A20" s="138"/>
      <c r="B20" s="131" t="s">
        <v>290</v>
      </c>
      <c r="C20" s="138">
        <f t="shared" ref="C20:N20" si="0">SUM(C16:C19)</f>
        <v>5150</v>
      </c>
      <c r="D20" s="138">
        <f t="shared" si="0"/>
        <v>5154</v>
      </c>
      <c r="E20" s="138">
        <f t="shared" si="0"/>
        <v>5047</v>
      </c>
      <c r="F20" s="138">
        <f t="shared" si="0"/>
        <v>4968</v>
      </c>
      <c r="G20" s="138">
        <f t="shared" si="0"/>
        <v>4968</v>
      </c>
      <c r="H20" s="138">
        <f t="shared" si="0"/>
        <v>4968</v>
      </c>
      <c r="I20" s="142">
        <f>SUM(I16:I19)</f>
        <v>154219.78900000002</v>
      </c>
      <c r="J20" s="138">
        <f t="shared" si="0"/>
        <v>161102.06999999998</v>
      </c>
      <c r="K20" s="143">
        <f t="shared" si="0"/>
        <v>170340.19199999992</v>
      </c>
      <c r="L20" s="142">
        <f>SUM(L16:L19)</f>
        <v>188272.53318000003</v>
      </c>
      <c r="M20" s="138">
        <f t="shared" si="0"/>
        <v>175451.49523999999</v>
      </c>
      <c r="N20" s="138">
        <f t="shared" si="0"/>
        <v>171194.75557000001</v>
      </c>
    </row>
  </sheetData>
  <mergeCells count="10">
    <mergeCell ref="J1:M1"/>
    <mergeCell ref="J2:M2"/>
    <mergeCell ref="J3:M3"/>
    <mergeCell ref="J4:M4"/>
    <mergeCell ref="D5:M8"/>
    <mergeCell ref="A9:M12"/>
    <mergeCell ref="A14:A15"/>
    <mergeCell ref="B14:B15"/>
    <mergeCell ref="C14:H14"/>
    <mergeCell ref="I14:N14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abSelected="1" view="pageBreakPreview" topLeftCell="D64" zoomScale="85" zoomScaleNormal="80" zoomScaleSheetLayoutView="85" workbookViewId="0">
      <selection activeCell="K18" sqref="K18"/>
    </sheetView>
  </sheetViews>
  <sheetFormatPr defaultColWidth="9.109375" defaultRowHeight="14.4" x14ac:dyDescent="0.3"/>
  <cols>
    <col min="1" max="1" width="7.88671875" style="15" customWidth="1"/>
    <col min="2" max="2" width="55" style="15" customWidth="1"/>
    <col min="3" max="3" width="15.44140625" style="15" customWidth="1"/>
    <col min="4" max="4" width="6.44140625" style="15" customWidth="1"/>
    <col min="5" max="5" width="6.33203125" style="15" customWidth="1"/>
    <col min="6" max="6" width="14" style="15" customWidth="1"/>
    <col min="7" max="7" width="9" style="15" customWidth="1"/>
    <col min="8" max="9" width="15.33203125" style="15" bestFit="1" customWidth="1"/>
    <col min="10" max="10" width="15" style="15" customWidth="1"/>
    <col min="11" max="11" width="16.109375" style="15" customWidth="1"/>
    <col min="12" max="13" width="16.44140625" style="15" customWidth="1"/>
    <col min="14" max="14" width="15.33203125" style="15" bestFit="1" customWidth="1"/>
    <col min="15" max="15" width="13.6640625" style="15" customWidth="1"/>
    <col min="16" max="16384" width="9.109375" style="15"/>
  </cols>
  <sheetData>
    <row r="1" spans="1:15" customFormat="1" x14ac:dyDescent="0.3">
      <c r="C1" s="141"/>
      <c r="D1" s="15"/>
      <c r="E1" s="15"/>
      <c r="F1" s="15"/>
      <c r="G1" s="15"/>
      <c r="J1" s="207" t="s">
        <v>352</v>
      </c>
      <c r="K1" s="207"/>
      <c r="L1" s="207"/>
      <c r="M1" s="207"/>
      <c r="N1" s="207"/>
    </row>
    <row r="2" spans="1:15" customFormat="1" x14ac:dyDescent="0.3">
      <c r="C2" s="141"/>
      <c r="D2" s="15"/>
      <c r="E2" s="15"/>
      <c r="F2" s="15"/>
      <c r="G2" s="15"/>
      <c r="J2" s="207" t="s">
        <v>291</v>
      </c>
      <c r="K2" s="207"/>
      <c r="L2" s="207"/>
      <c r="M2" s="207"/>
      <c r="N2" s="207"/>
    </row>
    <row r="3" spans="1:15" customFormat="1" x14ac:dyDescent="0.3">
      <c r="C3" s="141"/>
      <c r="D3" s="15"/>
      <c r="E3" s="15"/>
      <c r="F3" s="15"/>
      <c r="G3" s="15"/>
      <c r="J3" s="207" t="s">
        <v>292</v>
      </c>
      <c r="K3" s="207"/>
      <c r="L3" s="207"/>
      <c r="M3" s="207"/>
      <c r="N3" s="207"/>
    </row>
    <row r="4" spans="1:15" customFormat="1" x14ac:dyDescent="0.3">
      <c r="A4" s="15"/>
      <c r="B4" s="15"/>
      <c r="C4" s="15"/>
      <c r="D4" s="15"/>
      <c r="E4" s="15"/>
      <c r="F4" s="15"/>
      <c r="G4" s="15"/>
      <c r="H4" s="15"/>
      <c r="I4" s="15"/>
      <c r="J4" s="70"/>
      <c r="K4" s="70" t="s">
        <v>319</v>
      </c>
      <c r="L4" s="70"/>
      <c r="M4" s="70"/>
      <c r="N4" s="70"/>
    </row>
    <row r="5" spans="1:15" ht="18" x14ac:dyDescent="0.35">
      <c r="A5" s="91"/>
      <c r="B5" s="91"/>
      <c r="C5" s="91"/>
      <c r="D5" s="91"/>
      <c r="E5" s="91"/>
      <c r="F5" s="91"/>
      <c r="G5" s="91"/>
      <c r="H5" s="258" t="s">
        <v>337</v>
      </c>
      <c r="I5" s="258"/>
      <c r="J5" s="258"/>
      <c r="K5" s="258"/>
      <c r="L5" s="258"/>
      <c r="M5" s="192"/>
    </row>
    <row r="6" spans="1:15" ht="18" x14ac:dyDescent="0.35">
      <c r="A6" s="91"/>
      <c r="B6" s="91"/>
      <c r="C6" s="91"/>
      <c r="D6" s="91"/>
      <c r="E6" s="91"/>
      <c r="F6" s="91"/>
      <c r="G6" s="91"/>
      <c r="H6" s="258"/>
      <c r="I6" s="258"/>
      <c r="J6" s="258"/>
      <c r="K6" s="258"/>
      <c r="L6" s="258"/>
      <c r="M6" s="192"/>
    </row>
    <row r="7" spans="1:15" ht="18" x14ac:dyDescent="0.35">
      <c r="A7" s="91"/>
      <c r="B7" s="91"/>
      <c r="C7" s="91"/>
      <c r="D7" s="91"/>
      <c r="E7" s="91"/>
      <c r="F7" s="91"/>
      <c r="G7" s="91"/>
      <c r="H7" s="258"/>
      <c r="I7" s="258"/>
      <c r="J7" s="258"/>
      <c r="K7" s="258"/>
      <c r="L7" s="258"/>
      <c r="M7" s="192"/>
    </row>
    <row r="8" spans="1:15" ht="18" x14ac:dyDescent="0.35">
      <c r="A8" s="91"/>
      <c r="B8" s="91"/>
      <c r="C8" s="91"/>
      <c r="D8" s="91"/>
      <c r="E8" s="91"/>
      <c r="F8" s="91"/>
      <c r="G8" s="91"/>
      <c r="H8" s="92"/>
      <c r="I8" s="92"/>
      <c r="J8" s="92"/>
      <c r="K8" s="92"/>
      <c r="L8" s="92"/>
      <c r="M8" s="92"/>
    </row>
    <row r="9" spans="1:15" ht="18" x14ac:dyDescent="0.3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</row>
    <row r="10" spans="1:15" ht="18" x14ac:dyDescent="0.35">
      <c r="A10" s="258" t="s">
        <v>338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192"/>
    </row>
    <row r="11" spans="1:15" ht="18" x14ac:dyDescent="0.35">
      <c r="A11" s="258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192"/>
    </row>
    <row r="12" spans="1:15" ht="18" x14ac:dyDescent="0.35">
      <c r="A12" s="258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192"/>
    </row>
    <row r="13" spans="1:15" ht="18" x14ac:dyDescent="0.35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</row>
    <row r="14" spans="1:15" ht="15.6" x14ac:dyDescent="0.3">
      <c r="A14" s="259" t="s">
        <v>36</v>
      </c>
      <c r="B14" s="244" t="s">
        <v>37</v>
      </c>
      <c r="C14" s="244" t="s">
        <v>38</v>
      </c>
      <c r="D14" s="260" t="s">
        <v>201</v>
      </c>
      <c r="E14" s="261"/>
      <c r="F14" s="261"/>
      <c r="G14" s="262"/>
      <c r="H14" s="263" t="s">
        <v>202</v>
      </c>
      <c r="I14" s="264"/>
      <c r="J14" s="264"/>
      <c r="K14" s="264"/>
      <c r="L14" s="264"/>
      <c r="M14" s="264"/>
      <c r="N14" s="264"/>
    </row>
    <row r="15" spans="1:15" ht="15.6" x14ac:dyDescent="0.3">
      <c r="A15" s="259"/>
      <c r="B15" s="246"/>
      <c r="C15" s="246"/>
      <c r="D15" s="193" t="s">
        <v>203</v>
      </c>
      <c r="E15" s="193" t="s">
        <v>204</v>
      </c>
      <c r="F15" s="193" t="s">
        <v>205</v>
      </c>
      <c r="G15" s="193" t="s">
        <v>206</v>
      </c>
      <c r="H15" s="191">
        <v>2020</v>
      </c>
      <c r="I15" s="191">
        <v>2021</v>
      </c>
      <c r="J15" s="204">
        <v>2022</v>
      </c>
      <c r="K15" s="206">
        <v>2023</v>
      </c>
      <c r="L15" s="191">
        <v>2024</v>
      </c>
      <c r="M15" s="175">
        <v>2025</v>
      </c>
      <c r="N15" s="93" t="s">
        <v>173</v>
      </c>
    </row>
    <row r="16" spans="1:15" ht="46.8" x14ac:dyDescent="0.3">
      <c r="A16" s="94"/>
      <c r="B16" s="95" t="s">
        <v>312</v>
      </c>
      <c r="C16" s="229" t="s">
        <v>207</v>
      </c>
      <c r="D16" s="96">
        <v>958</v>
      </c>
      <c r="E16" s="97" t="s">
        <v>208</v>
      </c>
      <c r="F16" s="97" t="s">
        <v>209</v>
      </c>
      <c r="G16" s="97" t="s">
        <v>210</v>
      </c>
      <c r="H16" s="155">
        <f t="shared" ref="H16:M16" si="0">H17+H32+H50+H66</f>
        <v>175949.09900000002</v>
      </c>
      <c r="I16" s="155">
        <f t="shared" si="0"/>
        <v>185388.23</v>
      </c>
      <c r="J16" s="155">
        <f t="shared" si="0"/>
        <v>214110.10963999989</v>
      </c>
      <c r="K16" s="155">
        <f>K17+K32+K50+K66</f>
        <v>222807.80155</v>
      </c>
      <c r="L16" s="155">
        <f t="shared" si="0"/>
        <v>200991.03539</v>
      </c>
      <c r="M16" s="155">
        <f t="shared" si="0"/>
        <v>193107.94881</v>
      </c>
      <c r="N16" s="156">
        <f>N17+N32+N50+N66</f>
        <v>1192354.2243899999</v>
      </c>
      <c r="O16" s="98"/>
    </row>
    <row r="17" spans="1:15" ht="46.8" x14ac:dyDescent="0.3">
      <c r="A17" s="99">
        <v>1</v>
      </c>
      <c r="B17" s="100" t="s">
        <v>339</v>
      </c>
      <c r="C17" s="230"/>
      <c r="D17" s="96">
        <v>958</v>
      </c>
      <c r="E17" s="97" t="s">
        <v>211</v>
      </c>
      <c r="F17" s="97" t="s">
        <v>212</v>
      </c>
      <c r="G17" s="97" t="s">
        <v>210</v>
      </c>
      <c r="H17" s="155">
        <f t="shared" ref="H17:M17" si="1">H18+H20+H31</f>
        <v>43690.189999999995</v>
      </c>
      <c r="I17" s="155">
        <f t="shared" si="1"/>
        <v>43587.43</v>
      </c>
      <c r="J17" s="155">
        <f t="shared" si="1"/>
        <v>54686.091239999892</v>
      </c>
      <c r="K17" s="155">
        <f t="shared" si="1"/>
        <v>60001.396549999998</v>
      </c>
      <c r="L17" s="155">
        <f t="shared" si="1"/>
        <v>49423.001300000004</v>
      </c>
      <c r="M17" s="155">
        <f t="shared" si="1"/>
        <v>46922.655299999999</v>
      </c>
      <c r="N17" s="156">
        <f>N18+N20+N31</f>
        <v>298310.76438999991</v>
      </c>
      <c r="O17" s="98"/>
    </row>
    <row r="18" spans="1:15" ht="46.8" x14ac:dyDescent="0.3">
      <c r="A18" s="99" t="s">
        <v>6</v>
      </c>
      <c r="B18" s="100" t="s">
        <v>45</v>
      </c>
      <c r="C18" s="230"/>
      <c r="D18" s="96">
        <v>958</v>
      </c>
      <c r="E18" s="97" t="s">
        <v>211</v>
      </c>
      <c r="F18" s="97" t="s">
        <v>213</v>
      </c>
      <c r="G18" s="97" t="s">
        <v>210</v>
      </c>
      <c r="H18" s="155">
        <f t="shared" ref="H18:M18" si="2">H19</f>
        <v>42507.56</v>
      </c>
      <c r="I18" s="155">
        <f t="shared" si="2"/>
        <v>42483.75</v>
      </c>
      <c r="J18" s="155">
        <f t="shared" si="2"/>
        <v>45122.378689999896</v>
      </c>
      <c r="K18" s="155">
        <f t="shared" si="2"/>
        <v>52633.669179999997</v>
      </c>
      <c r="L18" s="155">
        <f t="shared" si="2"/>
        <v>48688.062090000007</v>
      </c>
      <c r="M18" s="155">
        <f t="shared" si="2"/>
        <v>46664.655299999999</v>
      </c>
      <c r="N18" s="156">
        <f>N19</f>
        <v>278100.0752599999</v>
      </c>
      <c r="O18" s="98"/>
    </row>
    <row r="19" spans="1:15" ht="46.8" x14ac:dyDescent="0.3">
      <c r="A19" s="101" t="s">
        <v>214</v>
      </c>
      <c r="B19" s="102" t="s">
        <v>48</v>
      </c>
      <c r="C19" s="230"/>
      <c r="D19" s="103">
        <v>958</v>
      </c>
      <c r="E19" s="104" t="s">
        <v>211</v>
      </c>
      <c r="F19" s="104" t="s">
        <v>215</v>
      </c>
      <c r="G19" s="103">
        <v>610</v>
      </c>
      <c r="H19" s="105">
        <v>42507.56</v>
      </c>
      <c r="I19" s="105">
        <f>'5'!E42</f>
        <v>42483.75</v>
      </c>
      <c r="J19" s="105">
        <f>'5'!F42</f>
        <v>45122.378689999896</v>
      </c>
      <c r="K19" s="105">
        <f>'5'!G42</f>
        <v>52633.669179999997</v>
      </c>
      <c r="L19" s="105">
        <f>'5'!H42</f>
        <v>48688.062090000007</v>
      </c>
      <c r="M19" s="105">
        <f>'5'!I42</f>
        <v>46664.655299999999</v>
      </c>
      <c r="N19" s="157">
        <f>SUM(H19:M19)</f>
        <v>278100.0752599999</v>
      </c>
      <c r="O19" s="98"/>
    </row>
    <row r="20" spans="1:15" ht="31.2" x14ac:dyDescent="0.3">
      <c r="A20" s="101" t="s">
        <v>216</v>
      </c>
      <c r="B20" s="100" t="s">
        <v>51</v>
      </c>
      <c r="C20" s="230"/>
      <c r="D20" s="96">
        <v>958</v>
      </c>
      <c r="E20" s="97" t="s">
        <v>211</v>
      </c>
      <c r="F20" s="97" t="s">
        <v>217</v>
      </c>
      <c r="G20" s="97" t="s">
        <v>210</v>
      </c>
      <c r="H20" s="155">
        <f t="shared" ref="H20:J20" si="3">H21+H22+H23+H24+H25+H26+H27+H28+H29+H30</f>
        <v>1182.6299999999999</v>
      </c>
      <c r="I20" s="155">
        <f t="shared" si="3"/>
        <v>1103.6799999999998</v>
      </c>
      <c r="J20" s="155">
        <f t="shared" si="3"/>
        <v>9563.7125500000002</v>
      </c>
      <c r="K20" s="155">
        <f>K21+K22+K23+K24+K25+K26+K27+K28+K29+K30</f>
        <v>7367.7273699999996</v>
      </c>
      <c r="L20" s="155">
        <f t="shared" ref="L20:M20" si="4">L21+L22+L23+L24+L25+L26+L27+L28+L29+L30</f>
        <v>734.93921</v>
      </c>
      <c r="M20" s="155">
        <f t="shared" si="4"/>
        <v>258</v>
      </c>
      <c r="N20" s="156">
        <f>N21+N22+N23+N24+N25+N26+N27+N28+N29+N30</f>
        <v>20210.689129999999</v>
      </c>
      <c r="O20" s="98"/>
    </row>
    <row r="21" spans="1:15" ht="62.4" x14ac:dyDescent="0.3">
      <c r="A21" s="101" t="s">
        <v>52</v>
      </c>
      <c r="B21" s="102" t="s">
        <v>53</v>
      </c>
      <c r="C21" s="230"/>
      <c r="D21" s="103">
        <v>958</v>
      </c>
      <c r="E21" s="104" t="s">
        <v>211</v>
      </c>
      <c r="F21" s="106" t="s">
        <v>218</v>
      </c>
      <c r="G21" s="103">
        <v>610</v>
      </c>
      <c r="H21" s="105">
        <f>'5'!D52</f>
        <v>0</v>
      </c>
      <c r="I21" s="105">
        <f>'5'!E52</f>
        <v>12.210000000000003</v>
      </c>
      <c r="J21" s="105">
        <f>'5'!F52</f>
        <v>0</v>
      </c>
      <c r="K21" s="105">
        <f>'5'!G52</f>
        <v>0</v>
      </c>
      <c r="L21" s="105">
        <f>'5'!H52</f>
        <v>476.93921</v>
      </c>
      <c r="M21" s="105">
        <f>'5'!I52</f>
        <v>0</v>
      </c>
      <c r="N21" s="157">
        <f t="shared" ref="N21:N31" si="5">SUM(H21:M21)</f>
        <v>489.14920999999998</v>
      </c>
      <c r="O21" s="98"/>
    </row>
    <row r="22" spans="1:15" ht="78" x14ac:dyDescent="0.3">
      <c r="A22" s="101" t="s">
        <v>219</v>
      </c>
      <c r="B22" s="20" t="s">
        <v>56</v>
      </c>
      <c r="C22" s="230"/>
      <c r="D22" s="103">
        <v>958</v>
      </c>
      <c r="E22" s="104" t="s">
        <v>211</v>
      </c>
      <c r="F22" s="104" t="s">
        <v>220</v>
      </c>
      <c r="G22" s="103">
        <v>410</v>
      </c>
      <c r="H22" s="105">
        <f>497.5+899.83+50-547.5</f>
        <v>899.82999999999993</v>
      </c>
      <c r="I22" s="105">
        <f>1604-1604</f>
        <v>0</v>
      </c>
      <c r="J22" s="105">
        <v>0</v>
      </c>
      <c r="K22" s="105">
        <v>0</v>
      </c>
      <c r="L22" s="105">
        <v>0</v>
      </c>
      <c r="M22" s="105">
        <v>0</v>
      </c>
      <c r="N22" s="157">
        <f t="shared" si="5"/>
        <v>899.82999999999993</v>
      </c>
      <c r="O22" s="98"/>
    </row>
    <row r="23" spans="1:15" ht="31.2" x14ac:dyDescent="0.3">
      <c r="A23" s="101" t="s">
        <v>221</v>
      </c>
      <c r="B23" s="20" t="s">
        <v>60</v>
      </c>
      <c r="C23" s="230"/>
      <c r="D23" s="103">
        <v>958</v>
      </c>
      <c r="E23" s="104" t="s">
        <v>211</v>
      </c>
      <c r="F23" s="104" t="s">
        <v>222</v>
      </c>
      <c r="G23" s="103">
        <v>610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57">
        <f t="shared" si="5"/>
        <v>0</v>
      </c>
      <c r="O23" s="98"/>
    </row>
    <row r="24" spans="1:15" ht="31.2" x14ac:dyDescent="0.3">
      <c r="A24" s="101" t="s">
        <v>62</v>
      </c>
      <c r="B24" s="20" t="s">
        <v>63</v>
      </c>
      <c r="C24" s="230"/>
      <c r="D24" s="103">
        <v>958</v>
      </c>
      <c r="E24" s="104" t="s">
        <v>211</v>
      </c>
      <c r="F24" s="104" t="s">
        <v>223</v>
      </c>
      <c r="G24" s="103">
        <v>610</v>
      </c>
      <c r="H24" s="105">
        <v>100</v>
      </c>
      <c r="I24" s="105">
        <f>'5'!E64</f>
        <v>97.5</v>
      </c>
      <c r="J24" s="105">
        <f>'5'!F64</f>
        <v>0</v>
      </c>
      <c r="K24" s="105">
        <f>'5'!G64</f>
        <v>0</v>
      </c>
      <c r="L24" s="105">
        <f>'5'!H64</f>
        <v>100</v>
      </c>
      <c r="M24" s="105">
        <f>'5'!I64</f>
        <v>100</v>
      </c>
      <c r="N24" s="157">
        <f t="shared" si="5"/>
        <v>397.5</v>
      </c>
      <c r="O24" s="98"/>
    </row>
    <row r="25" spans="1:15" ht="46.8" x14ac:dyDescent="0.3">
      <c r="A25" s="101" t="s">
        <v>64</v>
      </c>
      <c r="B25" s="102" t="s">
        <v>65</v>
      </c>
      <c r="C25" s="230"/>
      <c r="D25" s="103">
        <v>958</v>
      </c>
      <c r="E25" s="104" t="s">
        <v>211</v>
      </c>
      <c r="F25" s="104" t="s">
        <v>224</v>
      </c>
      <c r="G25" s="103">
        <v>610</v>
      </c>
      <c r="H25" s="105">
        <v>140.6</v>
      </c>
      <c r="I25" s="105">
        <f>'5'!E72</f>
        <v>125.6</v>
      </c>
      <c r="J25" s="105">
        <f>'5'!F72</f>
        <v>6000</v>
      </c>
      <c r="K25" s="105">
        <f>'5'!G72</f>
        <v>5390</v>
      </c>
      <c r="L25" s="105">
        <f>'5'!H72</f>
        <v>0</v>
      </c>
      <c r="M25" s="105">
        <f>'5'!I69</f>
        <v>0</v>
      </c>
      <c r="N25" s="157">
        <f t="shared" si="5"/>
        <v>11656.2</v>
      </c>
      <c r="O25" s="98"/>
    </row>
    <row r="26" spans="1:15" ht="31.2" x14ac:dyDescent="0.3">
      <c r="A26" s="101" t="s">
        <v>225</v>
      </c>
      <c r="B26" s="102" t="s">
        <v>68</v>
      </c>
      <c r="C26" s="230"/>
      <c r="D26" s="103">
        <v>958</v>
      </c>
      <c r="E26" s="104" t="s">
        <v>211</v>
      </c>
      <c r="F26" s="104" t="s">
        <v>226</v>
      </c>
      <c r="G26" s="103">
        <v>610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57">
        <f t="shared" si="5"/>
        <v>0</v>
      </c>
      <c r="O26" s="98"/>
    </row>
    <row r="27" spans="1:15" ht="31.2" x14ac:dyDescent="0.3">
      <c r="A27" s="101" t="s">
        <v>70</v>
      </c>
      <c r="B27" s="102" t="s">
        <v>71</v>
      </c>
      <c r="C27" s="230"/>
      <c r="D27" s="103">
        <v>958</v>
      </c>
      <c r="E27" s="104" t="s">
        <v>211</v>
      </c>
      <c r="F27" s="104" t="s">
        <v>227</v>
      </c>
      <c r="G27" s="103">
        <v>610</v>
      </c>
      <c r="H27" s="105">
        <v>42.2</v>
      </c>
      <c r="I27" s="105">
        <f>'5'!E82</f>
        <v>111.18</v>
      </c>
      <c r="J27" s="105">
        <f>'5'!F82</f>
        <v>105.60636</v>
      </c>
      <c r="K27" s="105">
        <f>'5'!G82</f>
        <v>158</v>
      </c>
      <c r="L27" s="105">
        <f>'5'!H82</f>
        <v>158</v>
      </c>
      <c r="M27" s="105">
        <f>'5'!I79</f>
        <v>158</v>
      </c>
      <c r="N27" s="157">
        <f t="shared" si="5"/>
        <v>732.98635999999999</v>
      </c>
      <c r="O27" s="98"/>
    </row>
    <row r="28" spans="1:15" ht="15.6" x14ac:dyDescent="0.3">
      <c r="A28" s="101" t="s">
        <v>228</v>
      </c>
      <c r="B28" s="107" t="s">
        <v>74</v>
      </c>
      <c r="C28" s="231"/>
      <c r="D28" s="108">
        <v>958</v>
      </c>
      <c r="E28" s="104" t="s">
        <v>211</v>
      </c>
      <c r="F28" s="104">
        <v>111220400</v>
      </c>
      <c r="G28" s="103">
        <v>610</v>
      </c>
      <c r="H28" s="105">
        <v>0</v>
      </c>
      <c r="I28" s="105">
        <f>'5'!E87</f>
        <v>413.3</v>
      </c>
      <c r="J28" s="105">
        <f>'5'!F87</f>
        <v>92.75</v>
      </c>
      <c r="K28" s="105">
        <f>'5'!G87</f>
        <v>685</v>
      </c>
      <c r="L28" s="105">
        <f>'5'!H87</f>
        <v>0</v>
      </c>
      <c r="M28" s="105">
        <f>'5'!I87</f>
        <v>0</v>
      </c>
      <c r="N28" s="157">
        <f t="shared" si="5"/>
        <v>1191.05</v>
      </c>
      <c r="O28" s="98"/>
    </row>
    <row r="29" spans="1:15" ht="38.25" customHeight="1" x14ac:dyDescent="0.3">
      <c r="A29" s="101" t="s">
        <v>178</v>
      </c>
      <c r="B29" s="107" t="s">
        <v>179</v>
      </c>
      <c r="C29" s="109"/>
      <c r="D29" s="108">
        <v>958</v>
      </c>
      <c r="E29" s="104" t="s">
        <v>211</v>
      </c>
      <c r="F29" s="104" t="s">
        <v>229</v>
      </c>
      <c r="G29" s="103">
        <v>610</v>
      </c>
      <c r="H29" s="105">
        <f>'5'!D92</f>
        <v>0</v>
      </c>
      <c r="I29" s="105">
        <f>'5'!E92</f>
        <v>343.89</v>
      </c>
      <c r="J29" s="105">
        <f>'5'!F92</f>
        <v>3365.35619</v>
      </c>
      <c r="K29" s="105">
        <f>'5'!G92</f>
        <v>900</v>
      </c>
      <c r="L29" s="105">
        <f>'5'!H92</f>
        <v>0</v>
      </c>
      <c r="M29" s="105">
        <f>'5'!I92</f>
        <v>0</v>
      </c>
      <c r="N29" s="157">
        <f t="shared" si="5"/>
        <v>4609.2461899999998</v>
      </c>
      <c r="O29" s="98"/>
    </row>
    <row r="30" spans="1:15" ht="38.25" customHeight="1" x14ac:dyDescent="0.3">
      <c r="A30" s="101" t="s">
        <v>345</v>
      </c>
      <c r="B30" s="107" t="s">
        <v>346</v>
      </c>
      <c r="C30" s="205"/>
      <c r="D30" s="103">
        <v>958</v>
      </c>
      <c r="E30" s="104" t="s">
        <v>211</v>
      </c>
      <c r="F30" s="104" t="s">
        <v>349</v>
      </c>
      <c r="G30" s="103">
        <v>610</v>
      </c>
      <c r="H30" s="105">
        <f>'5'!D97</f>
        <v>0</v>
      </c>
      <c r="I30" s="105">
        <f>'5'!E97</f>
        <v>0</v>
      </c>
      <c r="J30" s="105">
        <f>'5'!F97</f>
        <v>0</v>
      </c>
      <c r="K30" s="105">
        <f>'5'!G97</f>
        <v>234.72737000000001</v>
      </c>
      <c r="L30" s="105">
        <f>'5'!H97</f>
        <v>0</v>
      </c>
      <c r="M30" s="105">
        <f>'5'!I97</f>
        <v>0</v>
      </c>
      <c r="N30" s="157">
        <f t="shared" si="5"/>
        <v>234.72737000000001</v>
      </c>
      <c r="O30" s="98"/>
    </row>
    <row r="31" spans="1:15" ht="46.8" x14ac:dyDescent="0.3">
      <c r="A31" s="101"/>
      <c r="B31" s="110" t="s">
        <v>182</v>
      </c>
      <c r="C31" s="111"/>
      <c r="D31" s="112">
        <v>958</v>
      </c>
      <c r="E31" s="97" t="s">
        <v>211</v>
      </c>
      <c r="F31" s="97" t="s">
        <v>230</v>
      </c>
      <c r="G31" s="96">
        <v>410</v>
      </c>
      <c r="H31" s="155">
        <f>'5'!D112</f>
        <v>0</v>
      </c>
      <c r="I31" s="155">
        <f>'5'!E112</f>
        <v>0</v>
      </c>
      <c r="J31" s="155">
        <f>'5'!F112</f>
        <v>0</v>
      </c>
      <c r="K31" s="155">
        <f>'5'!G112</f>
        <v>0</v>
      </c>
      <c r="L31" s="155">
        <f>'5'!H112</f>
        <v>0</v>
      </c>
      <c r="M31" s="155">
        <f>'5'!I112</f>
        <v>0</v>
      </c>
      <c r="N31" s="156">
        <f t="shared" si="5"/>
        <v>0</v>
      </c>
      <c r="O31" s="98"/>
    </row>
    <row r="32" spans="1:15" ht="47.25" customHeight="1" x14ac:dyDescent="0.3">
      <c r="A32" s="99" t="s">
        <v>81</v>
      </c>
      <c r="B32" s="100" t="s">
        <v>335</v>
      </c>
      <c r="C32" s="115" t="s">
        <v>207</v>
      </c>
      <c r="D32" s="96">
        <v>958</v>
      </c>
      <c r="E32" s="97" t="s">
        <v>231</v>
      </c>
      <c r="F32" s="97" t="s">
        <v>232</v>
      </c>
      <c r="G32" s="97" t="s">
        <v>210</v>
      </c>
      <c r="H32" s="155">
        <f t="shared" ref="H32:N32" si="6">H33+H36+H47</f>
        <v>91177.940000000017</v>
      </c>
      <c r="I32" s="155">
        <f t="shared" si="6"/>
        <v>96773.959999999992</v>
      </c>
      <c r="J32" s="155">
        <f t="shared" si="6"/>
        <v>108410.01277</v>
      </c>
      <c r="K32" s="155">
        <f>K33+K36+K47</f>
        <v>111806.22204000001</v>
      </c>
      <c r="L32" s="155">
        <f t="shared" si="6"/>
        <v>102039.24609</v>
      </c>
      <c r="M32" s="155">
        <f t="shared" si="6"/>
        <v>99024.100749999998</v>
      </c>
      <c r="N32" s="156">
        <f t="shared" si="6"/>
        <v>609231.48165000009</v>
      </c>
      <c r="O32" s="98"/>
    </row>
    <row r="33" spans="1:15" ht="46.8" x14ac:dyDescent="0.3">
      <c r="A33" s="99" t="s">
        <v>10</v>
      </c>
      <c r="B33" s="113" t="s">
        <v>82</v>
      </c>
      <c r="C33" s="145"/>
      <c r="D33" s="96">
        <v>958</v>
      </c>
      <c r="E33" s="97" t="s">
        <v>231</v>
      </c>
      <c r="F33" s="97" t="s">
        <v>233</v>
      </c>
      <c r="G33" s="97" t="s">
        <v>210</v>
      </c>
      <c r="H33" s="155">
        <f t="shared" ref="H33:N33" si="7">H34+H35</f>
        <v>88065.630000000019</v>
      </c>
      <c r="I33" s="155">
        <f t="shared" si="7"/>
        <v>93259.809999999983</v>
      </c>
      <c r="J33" s="155">
        <f t="shared" si="7"/>
        <v>98719.74384000001</v>
      </c>
      <c r="K33" s="155">
        <f t="shared" si="7"/>
        <v>108130.53504</v>
      </c>
      <c r="L33" s="155">
        <f t="shared" si="7"/>
        <v>99463.77115</v>
      </c>
      <c r="M33" s="155">
        <f t="shared" si="7"/>
        <v>98732.900750000001</v>
      </c>
      <c r="N33" s="156">
        <f t="shared" si="7"/>
        <v>586372.39078000002</v>
      </c>
      <c r="O33" s="98"/>
    </row>
    <row r="34" spans="1:15" ht="46.8" x14ac:dyDescent="0.3">
      <c r="A34" s="114" t="s">
        <v>84</v>
      </c>
      <c r="B34" s="115" t="s">
        <v>85</v>
      </c>
      <c r="C34" s="145"/>
      <c r="D34" s="103">
        <v>958</v>
      </c>
      <c r="E34" s="104" t="s">
        <v>231</v>
      </c>
      <c r="F34" s="104" t="s">
        <v>234</v>
      </c>
      <c r="G34" s="103">
        <v>610</v>
      </c>
      <c r="H34" s="105">
        <f>'5'!D132</f>
        <v>88065.630000000019</v>
      </c>
      <c r="I34" s="105">
        <f>'5'!E132</f>
        <v>93259.809999999983</v>
      </c>
      <c r="J34" s="105">
        <f>'5'!F132</f>
        <v>98719.74384000001</v>
      </c>
      <c r="K34" s="105">
        <f>'5'!G132</f>
        <v>108130.53504</v>
      </c>
      <c r="L34" s="105">
        <f>'5'!H132</f>
        <v>99463.77115</v>
      </c>
      <c r="M34" s="105">
        <f>'5'!I132</f>
        <v>98732.900750000001</v>
      </c>
      <c r="N34" s="157">
        <f>SUM(H34:M34)</f>
        <v>586372.39078000002</v>
      </c>
      <c r="O34" s="98"/>
    </row>
    <row r="35" spans="1:15" ht="31.2" x14ac:dyDescent="0.3">
      <c r="A35" s="114" t="s">
        <v>235</v>
      </c>
      <c r="B35" s="102" t="s">
        <v>88</v>
      </c>
      <c r="C35" s="145"/>
      <c r="D35" s="103">
        <v>958</v>
      </c>
      <c r="E35" s="104" t="s">
        <v>231</v>
      </c>
      <c r="F35" s="104" t="s">
        <v>236</v>
      </c>
      <c r="G35" s="103">
        <v>610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57">
        <f>SUM(H35:M35)</f>
        <v>0</v>
      </c>
      <c r="O35" s="98"/>
    </row>
    <row r="36" spans="1:15" ht="31.2" x14ac:dyDescent="0.3">
      <c r="A36" s="116" t="s">
        <v>11</v>
      </c>
      <c r="B36" s="117" t="s">
        <v>90</v>
      </c>
      <c r="C36" s="145"/>
      <c r="D36" s="96">
        <v>958</v>
      </c>
      <c r="E36" s="97" t="s">
        <v>231</v>
      </c>
      <c r="F36" s="97" t="s">
        <v>237</v>
      </c>
      <c r="G36" s="96">
        <v>0</v>
      </c>
      <c r="H36" s="155">
        <f>H37+H38+H39+H40+H41+H42+H43+H44</f>
        <v>3112.31</v>
      </c>
      <c r="I36" s="155">
        <f>I37+I38+I39+I40+I41+I42+I43+I44</f>
        <v>2887.1800000000003</v>
      </c>
      <c r="J36" s="155">
        <f>J37+J38+J39+J40+J41+J42+J43+J44+J45+J46</f>
        <v>9617.3389299999999</v>
      </c>
      <c r="K36" s="155">
        <f>K37+K38+K39+K40+K41+K42+K43+K44+K45+K46</f>
        <v>2770.7470000000003</v>
      </c>
      <c r="L36" s="155">
        <f>L37+L38+L39+L40+L41+L42+L43+L44</f>
        <v>2452.0001099999999</v>
      </c>
      <c r="M36" s="155">
        <f>M37+M38+M39+M40+M41+M42+M43+M44</f>
        <v>291.2</v>
      </c>
      <c r="N36" s="156">
        <f>N37+N38+N39+N40+N41+N42+N43+N44+N45+N46</f>
        <v>21130.776040000001</v>
      </c>
      <c r="O36" s="98"/>
    </row>
    <row r="37" spans="1:15" ht="31.2" x14ac:dyDescent="0.3">
      <c r="A37" s="118" t="s">
        <v>91</v>
      </c>
      <c r="B37" s="102" t="s">
        <v>92</v>
      </c>
      <c r="C37" s="145"/>
      <c r="D37" s="119">
        <v>958</v>
      </c>
      <c r="E37" s="120" t="s">
        <v>231</v>
      </c>
      <c r="F37" s="120" t="s">
        <v>238</v>
      </c>
      <c r="G37" s="103">
        <v>610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5">
        <v>0</v>
      </c>
      <c r="N37" s="157">
        <f t="shared" ref="N37:N42" si="8">SUM(H37:M37)</f>
        <v>0</v>
      </c>
      <c r="O37" s="98"/>
    </row>
    <row r="38" spans="1:15" ht="31.2" x14ac:dyDescent="0.3">
      <c r="A38" s="118" t="s">
        <v>93</v>
      </c>
      <c r="B38" s="115" t="s">
        <v>94</v>
      </c>
      <c r="C38" s="145"/>
      <c r="D38" s="103">
        <v>958</v>
      </c>
      <c r="E38" s="104" t="s">
        <v>231</v>
      </c>
      <c r="F38" s="104" t="s">
        <v>239</v>
      </c>
      <c r="G38" s="103">
        <v>610</v>
      </c>
      <c r="H38" s="105">
        <f>72.35+17.66-66.94-23.07</f>
        <v>0</v>
      </c>
      <c r="I38" s="105">
        <f>'5'!E162</f>
        <v>160.59000000000009</v>
      </c>
      <c r="J38" s="105">
        <f>'5'!F162</f>
        <v>589.14287000000002</v>
      </c>
      <c r="K38" s="105">
        <f>'5'!G162</f>
        <v>0</v>
      </c>
      <c r="L38" s="105">
        <f>'5'!H162</f>
        <v>2160.8001100000001</v>
      </c>
      <c r="M38" s="105">
        <f>'5'!I162</f>
        <v>0</v>
      </c>
      <c r="N38" s="157">
        <f t="shared" si="8"/>
        <v>2910.53298</v>
      </c>
      <c r="O38" s="98"/>
    </row>
    <row r="39" spans="1:15" ht="31.2" x14ac:dyDescent="0.3">
      <c r="A39" s="118" t="s">
        <v>97</v>
      </c>
      <c r="B39" s="102" t="s">
        <v>71</v>
      </c>
      <c r="C39" s="145"/>
      <c r="D39" s="103">
        <v>958</v>
      </c>
      <c r="E39" s="104" t="s">
        <v>231</v>
      </c>
      <c r="F39" s="104" t="s">
        <v>240</v>
      </c>
      <c r="G39" s="103">
        <v>610</v>
      </c>
      <c r="H39" s="105">
        <v>209.6</v>
      </c>
      <c r="I39" s="105">
        <f>'5'!E167</f>
        <v>148.85999999999999</v>
      </c>
      <c r="J39" s="105">
        <f>'5'!F167</f>
        <v>170.35944000000001</v>
      </c>
      <c r="K39" s="105">
        <f>'5'!G167</f>
        <v>221.2</v>
      </c>
      <c r="L39" s="105">
        <f>'5'!H167</f>
        <v>221.2</v>
      </c>
      <c r="M39" s="105">
        <f>'5'!I167</f>
        <v>221.2</v>
      </c>
      <c r="N39" s="157">
        <f t="shared" si="8"/>
        <v>1192.4194400000001</v>
      </c>
      <c r="O39" s="98"/>
    </row>
    <row r="40" spans="1:15" ht="15.6" x14ac:dyDescent="0.3">
      <c r="A40" s="118" t="s">
        <v>241</v>
      </c>
      <c r="B40" s="102" t="s">
        <v>189</v>
      </c>
      <c r="C40" s="145"/>
      <c r="D40" s="119">
        <v>958</v>
      </c>
      <c r="E40" s="120" t="s">
        <v>242</v>
      </c>
      <c r="F40" s="120" t="s">
        <v>243</v>
      </c>
      <c r="G40" s="119">
        <v>240</v>
      </c>
      <c r="H40" s="105">
        <v>70</v>
      </c>
      <c r="I40" s="105">
        <f>'5'!E172</f>
        <v>70</v>
      </c>
      <c r="J40" s="105">
        <f>'5'!F172</f>
        <v>65</v>
      </c>
      <c r="K40" s="105">
        <f>'5'!G172</f>
        <v>70</v>
      </c>
      <c r="L40" s="105">
        <f>'5'!H172</f>
        <v>70</v>
      </c>
      <c r="M40" s="105">
        <f>'5'!I172</f>
        <v>70</v>
      </c>
      <c r="N40" s="157">
        <f t="shared" si="8"/>
        <v>415</v>
      </c>
      <c r="O40" s="98"/>
    </row>
    <row r="41" spans="1:15" ht="15.6" x14ac:dyDescent="0.3">
      <c r="A41" s="118" t="s">
        <v>102</v>
      </c>
      <c r="B41" s="102" t="s">
        <v>74</v>
      </c>
      <c r="C41" s="145"/>
      <c r="D41" s="119">
        <v>958</v>
      </c>
      <c r="E41" s="120" t="s">
        <v>231</v>
      </c>
      <c r="F41" s="120" t="s">
        <v>244</v>
      </c>
      <c r="G41" s="119">
        <v>610</v>
      </c>
      <c r="H41" s="105">
        <f>'5'!D177</f>
        <v>2832.71</v>
      </c>
      <c r="I41" s="105">
        <f>'5'!E177</f>
        <v>631.53</v>
      </c>
      <c r="J41" s="105">
        <f>'5'!F177</f>
        <v>875.35</v>
      </c>
      <c r="K41" s="105">
        <f>'5'!G177</f>
        <v>1355.1669999999999</v>
      </c>
      <c r="L41" s="105">
        <f>'5'!H177</f>
        <v>0</v>
      </c>
      <c r="M41" s="105">
        <f>'5'!I177</f>
        <v>0</v>
      </c>
      <c r="N41" s="157">
        <f t="shared" si="8"/>
        <v>5694.7569999999996</v>
      </c>
      <c r="O41" s="98"/>
    </row>
    <row r="42" spans="1:15" ht="31.2" x14ac:dyDescent="0.3">
      <c r="A42" s="118" t="s">
        <v>103</v>
      </c>
      <c r="B42" s="102" t="s">
        <v>104</v>
      </c>
      <c r="C42" s="145"/>
      <c r="D42" s="103">
        <v>958</v>
      </c>
      <c r="E42" s="104" t="s">
        <v>231</v>
      </c>
      <c r="F42" s="104" t="s">
        <v>245</v>
      </c>
      <c r="G42" s="103">
        <v>610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5">
        <v>0</v>
      </c>
      <c r="N42" s="157">
        <f t="shared" si="8"/>
        <v>0</v>
      </c>
      <c r="O42" s="98"/>
    </row>
    <row r="43" spans="1:15" ht="46.8" x14ac:dyDescent="0.3">
      <c r="A43" s="101" t="s">
        <v>105</v>
      </c>
      <c r="B43" s="102" t="s">
        <v>106</v>
      </c>
      <c r="C43" s="145"/>
      <c r="D43" s="103">
        <v>958</v>
      </c>
      <c r="E43" s="104" t="s">
        <v>231</v>
      </c>
      <c r="F43" s="104" t="s">
        <v>246</v>
      </c>
      <c r="G43" s="103">
        <v>610</v>
      </c>
      <c r="H43" s="105">
        <v>0</v>
      </c>
      <c r="I43" s="105">
        <f>'5'!E187</f>
        <v>1876.2</v>
      </c>
      <c r="J43" s="105">
        <f>'5'!F187</f>
        <v>193.2</v>
      </c>
      <c r="K43" s="105">
        <f>'5'!G187</f>
        <v>647.08000000000004</v>
      </c>
      <c r="L43" s="105">
        <f>'5'!H187</f>
        <v>0</v>
      </c>
      <c r="M43" s="105">
        <f>'5'!I187</f>
        <v>0</v>
      </c>
      <c r="N43" s="105">
        <f>'5'!J187</f>
        <v>2716.48</v>
      </c>
      <c r="O43" s="98"/>
    </row>
    <row r="44" spans="1:15" ht="31.2" x14ac:dyDescent="0.3">
      <c r="A44" s="101" t="s">
        <v>293</v>
      </c>
      <c r="B44" s="102" t="s">
        <v>294</v>
      </c>
      <c r="C44" s="145"/>
      <c r="D44" s="103">
        <v>958</v>
      </c>
      <c r="E44" s="104" t="s">
        <v>231</v>
      </c>
      <c r="F44" s="104" t="s">
        <v>295</v>
      </c>
      <c r="G44" s="103">
        <v>610</v>
      </c>
      <c r="H44" s="105">
        <f>'5'!D192</f>
        <v>0</v>
      </c>
      <c r="I44" s="105">
        <f>'5'!E192</f>
        <v>0</v>
      </c>
      <c r="J44" s="105">
        <f>'5'!F192</f>
        <v>4357.3227099999995</v>
      </c>
      <c r="K44" s="105">
        <f>'5'!G192</f>
        <v>0</v>
      </c>
      <c r="L44" s="105">
        <f>'5'!H192</f>
        <v>0</v>
      </c>
      <c r="M44" s="105">
        <f>'5'!I192</f>
        <v>0</v>
      </c>
      <c r="N44" s="157">
        <f>SUM(H44:M44)</f>
        <v>4357.3227099999995</v>
      </c>
      <c r="O44" s="98"/>
    </row>
    <row r="45" spans="1:15" ht="82.5" customHeight="1" x14ac:dyDescent="0.3">
      <c r="A45" s="147" t="s">
        <v>297</v>
      </c>
      <c r="B45" s="144" t="s">
        <v>298</v>
      </c>
      <c r="C45" s="140"/>
      <c r="D45" s="103">
        <v>958</v>
      </c>
      <c r="E45" s="104" t="s">
        <v>231</v>
      </c>
      <c r="F45" s="104" t="s">
        <v>299</v>
      </c>
      <c r="G45" s="103">
        <v>610</v>
      </c>
      <c r="H45" s="105">
        <v>0</v>
      </c>
      <c r="I45" s="105">
        <v>0</v>
      </c>
      <c r="J45" s="105">
        <f>'5'!F197</f>
        <v>3361.9639099999999</v>
      </c>
      <c r="K45" s="105">
        <f>'5'!G197</f>
        <v>477.3</v>
      </c>
      <c r="L45" s="105">
        <v>0</v>
      </c>
      <c r="M45" s="105">
        <v>0</v>
      </c>
      <c r="N45" s="105">
        <f>'5'!J197</f>
        <v>3839.2639100000001</v>
      </c>
      <c r="O45" s="98"/>
    </row>
    <row r="46" spans="1:15" ht="82.5" customHeight="1" x14ac:dyDescent="0.3">
      <c r="A46" s="147" t="s">
        <v>326</v>
      </c>
      <c r="B46" s="199" t="s">
        <v>329</v>
      </c>
      <c r="C46" s="140"/>
      <c r="D46" s="119">
        <v>958</v>
      </c>
      <c r="E46" s="120" t="s">
        <v>242</v>
      </c>
      <c r="F46" s="104" t="s">
        <v>327</v>
      </c>
      <c r="G46" s="103">
        <v>240</v>
      </c>
      <c r="H46" s="105">
        <v>0</v>
      </c>
      <c r="I46" s="105">
        <v>0</v>
      </c>
      <c r="J46" s="105">
        <v>5</v>
      </c>
      <c r="K46" s="105">
        <v>0</v>
      </c>
      <c r="L46" s="105">
        <v>0</v>
      </c>
      <c r="M46" s="105">
        <v>0</v>
      </c>
      <c r="N46" s="157">
        <f>SUM(H46:M46)</f>
        <v>5</v>
      </c>
      <c r="O46" s="98"/>
    </row>
    <row r="47" spans="1:15" ht="31.2" x14ac:dyDescent="0.3">
      <c r="A47" s="101" t="s">
        <v>21</v>
      </c>
      <c r="B47" s="100" t="s">
        <v>108</v>
      </c>
      <c r="C47" s="140"/>
      <c r="D47" s="96">
        <v>958</v>
      </c>
      <c r="E47" s="97" t="s">
        <v>231</v>
      </c>
      <c r="F47" s="97" t="s">
        <v>247</v>
      </c>
      <c r="G47" s="96">
        <v>0</v>
      </c>
      <c r="H47" s="155">
        <f t="shared" ref="H47:N47" si="9">H48+H49</f>
        <v>0</v>
      </c>
      <c r="I47" s="155">
        <f t="shared" si="9"/>
        <v>626.97</v>
      </c>
      <c r="J47" s="155">
        <f t="shared" si="9"/>
        <v>72.930000000000007</v>
      </c>
      <c r="K47" s="155">
        <f t="shared" si="9"/>
        <v>904.94</v>
      </c>
      <c r="L47" s="155">
        <f t="shared" si="9"/>
        <v>123.47483</v>
      </c>
      <c r="M47" s="155">
        <f t="shared" si="9"/>
        <v>0</v>
      </c>
      <c r="N47" s="156">
        <f t="shared" si="9"/>
        <v>1728.3148300000003</v>
      </c>
      <c r="O47" s="98"/>
    </row>
    <row r="48" spans="1:15" ht="31.2" x14ac:dyDescent="0.3">
      <c r="A48" s="101" t="s">
        <v>248</v>
      </c>
      <c r="B48" s="102" t="s">
        <v>110</v>
      </c>
      <c r="C48" s="146"/>
      <c r="D48" s="119">
        <v>958</v>
      </c>
      <c r="E48" s="120" t="s">
        <v>231</v>
      </c>
      <c r="F48" s="120" t="s">
        <v>249</v>
      </c>
      <c r="G48" s="119">
        <v>610</v>
      </c>
      <c r="H48" s="105">
        <v>0</v>
      </c>
      <c r="I48" s="105">
        <f>'5'!E232</f>
        <v>626.97</v>
      </c>
      <c r="J48" s="105">
        <f>'5'!F232</f>
        <v>0</v>
      </c>
      <c r="K48" s="105">
        <f>'5'!G232</f>
        <v>0</v>
      </c>
      <c r="L48" s="105">
        <f>'5'!H232</f>
        <v>123.47483</v>
      </c>
      <c r="M48" s="105">
        <f>'5'!I232</f>
        <v>0</v>
      </c>
      <c r="N48" s="157">
        <f>SUM(H48:M48)</f>
        <v>750.44483000000002</v>
      </c>
      <c r="O48" s="98"/>
    </row>
    <row r="49" spans="1:15" ht="62.4" x14ac:dyDescent="0.3">
      <c r="A49" s="101" t="s">
        <v>321</v>
      </c>
      <c r="B49" s="102" t="s">
        <v>322</v>
      </c>
      <c r="C49" s="145"/>
      <c r="D49" s="119">
        <v>958</v>
      </c>
      <c r="E49" s="120" t="s">
        <v>231</v>
      </c>
      <c r="F49" s="120" t="s">
        <v>323</v>
      </c>
      <c r="G49" s="119">
        <v>610</v>
      </c>
      <c r="H49" s="105">
        <v>0</v>
      </c>
      <c r="I49" s="105">
        <v>0</v>
      </c>
      <c r="J49" s="160">
        <v>72.930000000000007</v>
      </c>
      <c r="K49" s="160">
        <f>'5'!G222</f>
        <v>904.94</v>
      </c>
      <c r="L49" s="160">
        <v>0</v>
      </c>
      <c r="M49" s="160">
        <v>0</v>
      </c>
      <c r="N49" s="157">
        <f>SUM(H49:M49)</f>
        <v>977.87000000000012</v>
      </c>
      <c r="O49" s="98"/>
    </row>
    <row r="50" spans="1:15" ht="46.8" x14ac:dyDescent="0.3">
      <c r="A50" s="121" t="s">
        <v>250</v>
      </c>
      <c r="B50" s="100" t="s">
        <v>336</v>
      </c>
      <c r="C50" s="229" t="s">
        <v>207</v>
      </c>
      <c r="D50" s="122">
        <v>958</v>
      </c>
      <c r="E50" s="123" t="s">
        <v>251</v>
      </c>
      <c r="F50" s="123" t="s">
        <v>252</v>
      </c>
      <c r="G50" s="123" t="s">
        <v>210</v>
      </c>
      <c r="H50" s="158">
        <f>H51+H58</f>
        <v>21810.29</v>
      </c>
      <c r="I50" s="158">
        <f t="shared" ref="I50:N50" si="10">I51+I58+I65</f>
        <v>23958.890000000003</v>
      </c>
      <c r="J50" s="158">
        <f>J51+J58+J65</f>
        <v>25850.126849999997</v>
      </c>
      <c r="K50" s="158">
        <f t="shared" si="10"/>
        <v>26801.533959999997</v>
      </c>
      <c r="L50" s="158">
        <f t="shared" si="10"/>
        <v>26710.551999999996</v>
      </c>
      <c r="M50" s="158">
        <f t="shared" si="10"/>
        <v>25208.089519999998</v>
      </c>
      <c r="N50" s="159">
        <f t="shared" si="10"/>
        <v>150339.48233</v>
      </c>
      <c r="O50" s="98"/>
    </row>
    <row r="51" spans="1:15" ht="46.8" x14ac:dyDescent="0.3">
      <c r="A51" s="121" t="s">
        <v>12</v>
      </c>
      <c r="B51" s="100" t="s">
        <v>119</v>
      </c>
      <c r="C51" s="230"/>
      <c r="D51" s="122">
        <v>958</v>
      </c>
      <c r="E51" s="123" t="s">
        <v>251</v>
      </c>
      <c r="F51" s="123" t="s">
        <v>253</v>
      </c>
      <c r="G51" s="123" t="s">
        <v>210</v>
      </c>
      <c r="H51" s="158">
        <f>H52+H53+H54+H55+H56</f>
        <v>21673.190000000002</v>
      </c>
      <c r="I51" s="158">
        <f t="shared" ref="I51:N51" si="11">I52+I53+I54+I55+I56+I57</f>
        <v>23284.740000000005</v>
      </c>
      <c r="J51" s="158">
        <f t="shared" si="11"/>
        <v>24214.664689999998</v>
      </c>
      <c r="K51" s="158">
        <f t="shared" si="11"/>
        <v>24935.323959999998</v>
      </c>
      <c r="L51" s="158">
        <f t="shared" si="11"/>
        <v>24942.761999999999</v>
      </c>
      <c r="M51" s="158">
        <f t="shared" si="11"/>
        <v>23440.29952</v>
      </c>
      <c r="N51" s="159">
        <f t="shared" si="11"/>
        <v>142490.98017</v>
      </c>
      <c r="O51" s="98"/>
    </row>
    <row r="52" spans="1:15" ht="93.6" x14ac:dyDescent="0.3">
      <c r="A52" s="121" t="s">
        <v>254</v>
      </c>
      <c r="B52" s="102" t="s">
        <v>121</v>
      </c>
      <c r="C52" s="230"/>
      <c r="D52" s="103">
        <v>958</v>
      </c>
      <c r="E52" s="104" t="s">
        <v>251</v>
      </c>
      <c r="F52" s="104" t="s">
        <v>255</v>
      </c>
      <c r="G52" s="103">
        <v>610</v>
      </c>
      <c r="H52" s="160">
        <f>80-80</f>
        <v>0</v>
      </c>
      <c r="I52" s="160">
        <v>0</v>
      </c>
      <c r="J52" s="160">
        <v>0</v>
      </c>
      <c r="K52" s="160">
        <v>0</v>
      </c>
      <c r="L52" s="160">
        <v>0</v>
      </c>
      <c r="M52" s="160">
        <v>0</v>
      </c>
      <c r="N52" s="157">
        <f t="shared" ref="N52:N57" si="12">SUM(H52:M52)</f>
        <v>0</v>
      </c>
      <c r="O52" s="98"/>
    </row>
    <row r="53" spans="1:15" ht="46.8" x14ac:dyDescent="0.3">
      <c r="A53" s="101" t="s">
        <v>124</v>
      </c>
      <c r="B53" s="102" t="s">
        <v>193</v>
      </c>
      <c r="C53" s="230"/>
      <c r="D53" s="103">
        <v>958</v>
      </c>
      <c r="E53" s="104" t="s">
        <v>251</v>
      </c>
      <c r="F53" s="104" t="s">
        <v>256</v>
      </c>
      <c r="G53" s="103">
        <v>610</v>
      </c>
      <c r="H53" s="105">
        <f>'5'!D262</f>
        <v>21603.200000000001</v>
      </c>
      <c r="I53" s="105">
        <f>'5'!E262</f>
        <v>23284.740000000005</v>
      </c>
      <c r="J53" s="105">
        <f>'5'!F262</f>
        <v>24214.664689999998</v>
      </c>
      <c r="K53" s="105">
        <f>'5'!G262</f>
        <v>24935.323959999998</v>
      </c>
      <c r="L53" s="105">
        <f>'5'!H262</f>
        <v>24942.761999999999</v>
      </c>
      <c r="M53" s="105">
        <f>'5'!I262</f>
        <v>23440.29952</v>
      </c>
      <c r="N53" s="157">
        <f t="shared" si="12"/>
        <v>142420.99017</v>
      </c>
      <c r="O53" s="98"/>
    </row>
    <row r="54" spans="1:15" ht="46.8" x14ac:dyDescent="0.3">
      <c r="A54" s="124" t="s">
        <v>257</v>
      </c>
      <c r="B54" s="102" t="s">
        <v>258</v>
      </c>
      <c r="C54" s="230"/>
      <c r="D54" s="103">
        <v>958</v>
      </c>
      <c r="E54" s="104" t="s">
        <v>251</v>
      </c>
      <c r="F54" s="104" t="s">
        <v>259</v>
      </c>
      <c r="G54" s="103">
        <v>610</v>
      </c>
      <c r="H54" s="105">
        <f>'5'!D307</f>
        <v>0</v>
      </c>
      <c r="I54" s="105">
        <v>0</v>
      </c>
      <c r="J54" s="105">
        <f>'5'!F307</f>
        <v>0</v>
      </c>
      <c r="K54" s="105">
        <f>'5'!G307</f>
        <v>0</v>
      </c>
      <c r="L54" s="105">
        <f>'5'!H307</f>
        <v>0</v>
      </c>
      <c r="M54" s="105">
        <f>'5'!I307</f>
        <v>0</v>
      </c>
      <c r="N54" s="157">
        <f t="shared" si="12"/>
        <v>0</v>
      </c>
      <c r="O54" s="98"/>
    </row>
    <row r="55" spans="1:15" ht="46.8" x14ac:dyDescent="0.3">
      <c r="A55" s="124" t="s">
        <v>260</v>
      </c>
      <c r="B55" s="20" t="s">
        <v>131</v>
      </c>
      <c r="C55" s="230"/>
      <c r="D55" s="103">
        <v>958</v>
      </c>
      <c r="E55" s="104" t="s">
        <v>251</v>
      </c>
      <c r="F55" s="104" t="s">
        <v>261</v>
      </c>
      <c r="G55" s="103">
        <v>610</v>
      </c>
      <c r="H55" s="105">
        <v>0</v>
      </c>
      <c r="I55" s="105">
        <v>0</v>
      </c>
      <c r="J55" s="105">
        <v>0</v>
      </c>
      <c r="K55" s="105">
        <v>0</v>
      </c>
      <c r="L55" s="105">
        <v>0</v>
      </c>
      <c r="M55" s="105">
        <v>0</v>
      </c>
      <c r="N55" s="157">
        <f t="shared" si="12"/>
        <v>0</v>
      </c>
      <c r="O55" s="98"/>
    </row>
    <row r="56" spans="1:15" ht="31.2" x14ac:dyDescent="0.3">
      <c r="A56" s="124" t="s">
        <v>132</v>
      </c>
      <c r="B56" s="20" t="s">
        <v>133</v>
      </c>
      <c r="C56" s="230"/>
      <c r="D56" s="103">
        <v>958</v>
      </c>
      <c r="E56" s="104" t="s">
        <v>251</v>
      </c>
      <c r="F56" s="104" t="s">
        <v>262</v>
      </c>
      <c r="G56" s="119">
        <v>610</v>
      </c>
      <c r="H56" s="105">
        <f>'5'!D277</f>
        <v>69.989999999999995</v>
      </c>
      <c r="I56" s="105">
        <f>'5'!E277</f>
        <v>0</v>
      </c>
      <c r="J56" s="105">
        <f>'5'!F277</f>
        <v>0</v>
      </c>
      <c r="K56" s="105">
        <f>'5'!G277</f>
        <v>0</v>
      </c>
      <c r="L56" s="105">
        <f>'5'!H277</f>
        <v>0</v>
      </c>
      <c r="M56" s="105">
        <v>0</v>
      </c>
      <c r="N56" s="157">
        <f t="shared" si="12"/>
        <v>69.989999999999995</v>
      </c>
      <c r="O56" s="98"/>
    </row>
    <row r="57" spans="1:15" ht="46.8" x14ac:dyDescent="0.3">
      <c r="A57" s="124" t="s">
        <v>263</v>
      </c>
      <c r="B57" s="102" t="s">
        <v>200</v>
      </c>
      <c r="C57" s="230"/>
      <c r="D57" s="103">
        <v>958</v>
      </c>
      <c r="E57" s="104" t="s">
        <v>251</v>
      </c>
      <c r="F57" s="104" t="s">
        <v>264</v>
      </c>
      <c r="G57" s="119">
        <v>610</v>
      </c>
      <c r="H57" s="105">
        <v>0</v>
      </c>
      <c r="I57" s="105">
        <v>0</v>
      </c>
      <c r="J57" s="161">
        <v>0</v>
      </c>
      <c r="K57" s="161">
        <v>0</v>
      </c>
      <c r="L57" s="161">
        <v>0</v>
      </c>
      <c r="M57" s="161">
        <v>0</v>
      </c>
      <c r="N57" s="157">
        <f t="shared" si="12"/>
        <v>0</v>
      </c>
      <c r="O57" s="98"/>
    </row>
    <row r="58" spans="1:15" ht="31.2" x14ac:dyDescent="0.3">
      <c r="A58" s="124" t="s">
        <v>13</v>
      </c>
      <c r="B58" s="100" t="s">
        <v>134</v>
      </c>
      <c r="C58" s="230"/>
      <c r="D58" s="125">
        <v>958</v>
      </c>
      <c r="E58" s="104" t="s">
        <v>251</v>
      </c>
      <c r="F58" s="126">
        <v>131200000</v>
      </c>
      <c r="G58" s="123" t="s">
        <v>210</v>
      </c>
      <c r="H58" s="155">
        <f>H59+H60+H61</f>
        <v>137.1</v>
      </c>
      <c r="I58" s="155">
        <f>I59+I60+I61+I62+I63</f>
        <v>273.05</v>
      </c>
      <c r="J58" s="155">
        <f>J59+J60+J61+J64</f>
        <v>547.27856999999995</v>
      </c>
      <c r="K58" s="155">
        <f>K59+K60+K61+K62+K63+K64</f>
        <v>130.02000000000001</v>
      </c>
      <c r="L58" s="155">
        <f>L59+L60+L61</f>
        <v>31.6</v>
      </c>
      <c r="M58" s="155">
        <f>M59+M60+M61</f>
        <v>31.6</v>
      </c>
      <c r="N58" s="156">
        <f>N59+N60+N61+N62+N63+N64</f>
        <v>1150.6485699999998</v>
      </c>
      <c r="O58" s="98"/>
    </row>
    <row r="59" spans="1:15" ht="31.2" x14ac:dyDescent="0.3">
      <c r="A59" s="124" t="s">
        <v>265</v>
      </c>
      <c r="B59" s="102" t="s">
        <v>136</v>
      </c>
      <c r="C59" s="230"/>
      <c r="D59" s="103">
        <v>958</v>
      </c>
      <c r="E59" s="104" t="s">
        <v>251</v>
      </c>
      <c r="F59" s="104" t="s">
        <v>266</v>
      </c>
      <c r="G59" s="103">
        <v>610</v>
      </c>
      <c r="H59" s="105">
        <f>'5'!D287</f>
        <v>79.3</v>
      </c>
      <c r="I59" s="105">
        <f>'5'!E287</f>
        <v>77.5</v>
      </c>
      <c r="J59" s="105">
        <f>'5'!F287</f>
        <v>65.16</v>
      </c>
      <c r="K59" s="105">
        <f>'5'!G287</f>
        <v>0</v>
      </c>
      <c r="L59" s="105">
        <f>'5'!H287</f>
        <v>0</v>
      </c>
      <c r="M59" s="105">
        <v>0</v>
      </c>
      <c r="N59" s="157">
        <f>SUM(H59:M59)</f>
        <v>221.96</v>
      </c>
      <c r="O59" s="98"/>
    </row>
    <row r="60" spans="1:15" ht="31.2" x14ac:dyDescent="0.3">
      <c r="A60" s="124" t="s">
        <v>138</v>
      </c>
      <c r="B60" s="102" t="s">
        <v>71</v>
      </c>
      <c r="C60" s="230"/>
      <c r="D60" s="103">
        <v>958</v>
      </c>
      <c r="E60" s="104" t="s">
        <v>251</v>
      </c>
      <c r="F60" s="104" t="s">
        <v>267</v>
      </c>
      <c r="G60" s="103">
        <v>610</v>
      </c>
      <c r="H60" s="105">
        <f>'5'!D292</f>
        <v>57.8</v>
      </c>
      <c r="I60" s="105">
        <f>'5'!E292</f>
        <v>19.200000000000003</v>
      </c>
      <c r="J60" s="105">
        <f>'5'!F292</f>
        <v>22.118569999999998</v>
      </c>
      <c r="K60" s="105">
        <f>'5'!G292</f>
        <v>31.6</v>
      </c>
      <c r="L60" s="105">
        <f>'5'!H292</f>
        <v>31.6</v>
      </c>
      <c r="M60" s="105">
        <f>'5'!I292</f>
        <v>31.6</v>
      </c>
      <c r="N60" s="157">
        <f>SUM(H60:M60)</f>
        <v>193.91856999999999</v>
      </c>
      <c r="O60" s="98"/>
    </row>
    <row r="61" spans="1:15" ht="31.2" x14ac:dyDescent="0.3">
      <c r="A61" s="124" t="s">
        <v>139</v>
      </c>
      <c r="B61" s="102" t="s">
        <v>104</v>
      </c>
      <c r="C61" s="231"/>
      <c r="D61" s="103">
        <v>958</v>
      </c>
      <c r="E61" s="104" t="s">
        <v>251</v>
      </c>
      <c r="F61" s="104" t="s">
        <v>268</v>
      </c>
      <c r="G61" s="103">
        <v>610</v>
      </c>
      <c r="H61" s="105">
        <v>0</v>
      </c>
      <c r="I61" s="105">
        <v>0</v>
      </c>
      <c r="J61" s="105">
        <v>0</v>
      </c>
      <c r="K61" s="105">
        <v>0</v>
      </c>
      <c r="L61" s="105">
        <v>0</v>
      </c>
      <c r="M61" s="105">
        <v>0</v>
      </c>
      <c r="N61" s="157">
        <f>SUM(H61:M61)</f>
        <v>0</v>
      </c>
      <c r="O61" s="98"/>
    </row>
    <row r="62" spans="1:15" ht="15.6" x14ac:dyDescent="0.3">
      <c r="A62" s="124" t="s">
        <v>195</v>
      </c>
      <c r="B62" s="102" t="s">
        <v>74</v>
      </c>
      <c r="C62" s="127"/>
      <c r="D62" s="103">
        <v>958</v>
      </c>
      <c r="E62" s="104" t="s">
        <v>251</v>
      </c>
      <c r="F62" s="106" t="s">
        <v>269</v>
      </c>
      <c r="G62" s="103">
        <v>610</v>
      </c>
      <c r="H62" s="105">
        <f>'5'!D302</f>
        <v>0</v>
      </c>
      <c r="I62" s="105">
        <f>'5'!E302</f>
        <v>124.35000000000001</v>
      </c>
      <c r="J62" s="105">
        <f>'5'!F302</f>
        <v>0</v>
      </c>
      <c r="K62" s="105">
        <f>'5'!G302</f>
        <v>98.42</v>
      </c>
      <c r="L62" s="105">
        <f>'5'!H302</f>
        <v>0</v>
      </c>
      <c r="M62" s="105">
        <v>0</v>
      </c>
      <c r="N62" s="157">
        <f>SUM(H62:M62)</f>
        <v>222.77</v>
      </c>
      <c r="O62" s="98"/>
    </row>
    <row r="63" spans="1:15" ht="46.8" x14ac:dyDescent="0.3">
      <c r="A63" s="124" t="s">
        <v>197</v>
      </c>
      <c r="B63" s="102" t="s">
        <v>128</v>
      </c>
      <c r="C63" s="127"/>
      <c r="D63" s="103">
        <v>958</v>
      </c>
      <c r="E63" s="104" t="s">
        <v>251</v>
      </c>
      <c r="F63" s="106" t="s">
        <v>259</v>
      </c>
      <c r="G63" s="103">
        <v>610</v>
      </c>
      <c r="H63" s="105">
        <f>'5'!D307</f>
        <v>0</v>
      </c>
      <c r="I63" s="105">
        <f>'5'!E307</f>
        <v>52</v>
      </c>
      <c r="J63" s="105">
        <f>'5'!F307</f>
        <v>0</v>
      </c>
      <c r="K63" s="105">
        <f>'5'!G307</f>
        <v>0</v>
      </c>
      <c r="L63" s="105">
        <f>'5'!H307</f>
        <v>0</v>
      </c>
      <c r="M63" s="105">
        <v>0</v>
      </c>
      <c r="N63" s="157">
        <f>SUM(H63:M63)</f>
        <v>52</v>
      </c>
      <c r="O63" s="98"/>
    </row>
    <row r="64" spans="1:15" ht="82.5" customHeight="1" x14ac:dyDescent="0.3">
      <c r="A64" s="124" t="s">
        <v>300</v>
      </c>
      <c r="B64" s="168" t="s">
        <v>303</v>
      </c>
      <c r="C64" s="166"/>
      <c r="D64" s="103">
        <v>958</v>
      </c>
      <c r="E64" s="104" t="s">
        <v>251</v>
      </c>
      <c r="F64" s="106" t="s">
        <v>301</v>
      </c>
      <c r="G64" s="103">
        <v>610</v>
      </c>
      <c r="H64" s="105">
        <v>0</v>
      </c>
      <c r="I64" s="105">
        <v>0</v>
      </c>
      <c r="J64" s="105">
        <f>'5'!F312</f>
        <v>460</v>
      </c>
      <c r="K64" s="105">
        <v>0</v>
      </c>
      <c r="L64" s="105">
        <v>0</v>
      </c>
      <c r="M64" s="105">
        <v>0</v>
      </c>
      <c r="N64" s="157">
        <f>'5'!J312</f>
        <v>460</v>
      </c>
      <c r="O64" s="98"/>
    </row>
    <row r="65" spans="1:15" ht="46.8" x14ac:dyDescent="0.3">
      <c r="A65" s="124" t="s">
        <v>140</v>
      </c>
      <c r="B65" s="100" t="s">
        <v>198</v>
      </c>
      <c r="C65" s="127"/>
      <c r="D65" s="103">
        <v>958</v>
      </c>
      <c r="E65" s="104" t="s">
        <v>251</v>
      </c>
      <c r="F65" s="106" t="s">
        <v>270</v>
      </c>
      <c r="G65" s="103">
        <v>610</v>
      </c>
      <c r="H65" s="105">
        <f>'5'!D317</f>
        <v>0</v>
      </c>
      <c r="I65" s="105">
        <f>'5'!E317</f>
        <v>401.1</v>
      </c>
      <c r="J65" s="105">
        <f>'5'!F317</f>
        <v>1088.1835900000001</v>
      </c>
      <c r="K65" s="105">
        <f>'5'!G317</f>
        <v>1736.19</v>
      </c>
      <c r="L65" s="105">
        <f>'5'!H317</f>
        <v>1736.19</v>
      </c>
      <c r="M65" s="105">
        <f>'5'!I317</f>
        <v>1736.19</v>
      </c>
      <c r="N65" s="157">
        <f>SUM(H65:M65)</f>
        <v>6697.8535900000006</v>
      </c>
      <c r="O65" s="98"/>
    </row>
    <row r="66" spans="1:15" ht="15.6" x14ac:dyDescent="0.3">
      <c r="A66" s="128" t="s">
        <v>143</v>
      </c>
      <c r="B66" s="102" t="s">
        <v>144</v>
      </c>
      <c r="C66" s="253" t="s">
        <v>207</v>
      </c>
      <c r="D66" s="103">
        <v>958</v>
      </c>
      <c r="E66" s="104" t="s">
        <v>271</v>
      </c>
      <c r="F66" s="104" t="s">
        <v>272</v>
      </c>
      <c r="G66" s="104" t="s">
        <v>210</v>
      </c>
      <c r="H66" s="105">
        <f>H67+H89+H91+H75</f>
        <v>19270.679</v>
      </c>
      <c r="I66" s="105">
        <f>I67+I89+I91</f>
        <v>21067.95</v>
      </c>
      <c r="J66" s="105">
        <f>J67+J89+J91</f>
        <v>25163.878780000003</v>
      </c>
      <c r="K66" s="105">
        <f>K67+K89+K91</f>
        <v>24198.649000000001</v>
      </c>
      <c r="L66" s="105">
        <f>L67+L89+L91</f>
        <v>22818.236000000001</v>
      </c>
      <c r="M66" s="105">
        <f>M67+M89+M91</f>
        <v>21953.10324</v>
      </c>
      <c r="N66" s="157">
        <f>N67+N89+N91+N75</f>
        <v>134472.49601999999</v>
      </c>
      <c r="O66" s="98"/>
    </row>
    <row r="67" spans="1:15" ht="46.8" x14ac:dyDescent="0.3">
      <c r="A67" s="129" t="s">
        <v>16</v>
      </c>
      <c r="B67" s="100" t="s">
        <v>145</v>
      </c>
      <c r="C67" s="253"/>
      <c r="D67" s="96">
        <v>958</v>
      </c>
      <c r="E67" s="97" t="s">
        <v>251</v>
      </c>
      <c r="F67" s="97" t="s">
        <v>272</v>
      </c>
      <c r="G67" s="97" t="s">
        <v>210</v>
      </c>
      <c r="H67" s="155">
        <f t="shared" ref="H67:N67" si="13">H68+H77+H87+H88</f>
        <v>19196.679</v>
      </c>
      <c r="I67" s="155">
        <f t="shared" si="13"/>
        <v>20943.95</v>
      </c>
      <c r="J67" s="155">
        <f t="shared" si="13"/>
        <v>25038.878780000003</v>
      </c>
      <c r="K67" s="155">
        <f t="shared" si="13"/>
        <v>24073.649000000001</v>
      </c>
      <c r="L67" s="155">
        <f t="shared" si="13"/>
        <v>22693.236000000001</v>
      </c>
      <c r="M67" s="155">
        <f>M68+M77+M87+M88</f>
        <v>21828.10324</v>
      </c>
      <c r="N67" s="156">
        <f t="shared" si="13"/>
        <v>133774.49601999999</v>
      </c>
      <c r="O67" s="98"/>
    </row>
    <row r="68" spans="1:15" ht="15.6" x14ac:dyDescent="0.3">
      <c r="A68" s="255" t="s">
        <v>147</v>
      </c>
      <c r="B68" s="253" t="s">
        <v>148</v>
      </c>
      <c r="C68" s="253"/>
      <c r="D68" s="103">
        <v>958</v>
      </c>
      <c r="E68" s="104" t="s">
        <v>271</v>
      </c>
      <c r="F68" s="104" t="s">
        <v>273</v>
      </c>
      <c r="G68" s="104" t="s">
        <v>210</v>
      </c>
      <c r="H68" s="105">
        <f t="shared" ref="H68:N68" si="14">H69+H70+H72+H74+H73+H71</f>
        <v>3652.44</v>
      </c>
      <c r="I68" s="105">
        <f t="shared" si="14"/>
        <v>4738.29</v>
      </c>
      <c r="J68" s="105">
        <f t="shared" si="14"/>
        <v>6894.7489999999998</v>
      </c>
      <c r="K68" s="105">
        <f t="shared" si="14"/>
        <v>5536.1840000000002</v>
      </c>
      <c r="L68" s="105">
        <f t="shared" si="14"/>
        <v>5442.4269999999997</v>
      </c>
      <c r="M68" s="105">
        <f t="shared" si="14"/>
        <v>5362.924</v>
      </c>
      <c r="N68" s="157">
        <f t="shared" si="14"/>
        <v>31627.013999999999</v>
      </c>
      <c r="O68" s="98"/>
    </row>
    <row r="69" spans="1:15" ht="15.6" x14ac:dyDescent="0.3">
      <c r="A69" s="256"/>
      <c r="B69" s="253"/>
      <c r="C69" s="253"/>
      <c r="D69" s="103">
        <v>958</v>
      </c>
      <c r="E69" s="104" t="s">
        <v>271</v>
      </c>
      <c r="F69" s="104" t="s">
        <v>273</v>
      </c>
      <c r="G69" s="103">
        <v>120</v>
      </c>
      <c r="H69" s="105">
        <f>'5'!D342</f>
        <v>3652.44</v>
      </c>
      <c r="I69" s="105">
        <f>'5'!E342</f>
        <v>4738.29</v>
      </c>
      <c r="J69" s="105">
        <f>5089.242+134.136+150.971</f>
        <v>5374.3490000000002</v>
      </c>
      <c r="K69" s="105">
        <v>5300.41</v>
      </c>
      <c r="L69" s="105">
        <v>5312.4269999999997</v>
      </c>
      <c r="M69" s="151">
        <v>5232.924</v>
      </c>
      <c r="N69" s="157">
        <f t="shared" ref="N69:N74" si="15">SUM(H69:M69)</f>
        <v>29610.84</v>
      </c>
      <c r="O69" s="98"/>
    </row>
    <row r="70" spans="1:15" ht="15.6" hidden="1" x14ac:dyDescent="0.3">
      <c r="A70" s="256"/>
      <c r="B70" s="253"/>
      <c r="C70" s="253"/>
      <c r="D70" s="103">
        <v>958</v>
      </c>
      <c r="E70" s="104" t="s">
        <v>271</v>
      </c>
      <c r="F70" s="104" t="s">
        <v>274</v>
      </c>
      <c r="G70" s="103">
        <v>122</v>
      </c>
      <c r="H70" s="105"/>
      <c r="I70" s="105"/>
      <c r="J70" s="105"/>
      <c r="K70" s="105"/>
      <c r="L70" s="105"/>
      <c r="M70" s="105"/>
      <c r="N70" s="157">
        <f t="shared" si="15"/>
        <v>0</v>
      </c>
      <c r="O70" s="98"/>
    </row>
    <row r="71" spans="1:15" ht="15.6" hidden="1" x14ac:dyDescent="0.3">
      <c r="A71" s="256"/>
      <c r="B71" s="253"/>
      <c r="C71" s="253"/>
      <c r="D71" s="103">
        <v>958</v>
      </c>
      <c r="E71" s="104" t="s">
        <v>271</v>
      </c>
      <c r="F71" s="104" t="s">
        <v>274</v>
      </c>
      <c r="G71" s="103">
        <v>129</v>
      </c>
      <c r="H71" s="105"/>
      <c r="I71" s="105"/>
      <c r="J71" s="105"/>
      <c r="K71" s="105"/>
      <c r="L71" s="105"/>
      <c r="M71" s="105"/>
      <c r="N71" s="157">
        <f t="shared" si="15"/>
        <v>0</v>
      </c>
      <c r="O71" s="98"/>
    </row>
    <row r="72" spans="1:15" ht="15.6" x14ac:dyDescent="0.3">
      <c r="A72" s="256"/>
      <c r="B72" s="253"/>
      <c r="C72" s="253"/>
      <c r="D72" s="103">
        <v>958</v>
      </c>
      <c r="E72" s="104" t="s">
        <v>271</v>
      </c>
      <c r="F72" s="104" t="s">
        <v>273</v>
      </c>
      <c r="G72" s="103">
        <v>240</v>
      </c>
      <c r="H72" s="105">
        <v>0</v>
      </c>
      <c r="I72" s="105">
        <v>0</v>
      </c>
      <c r="J72" s="105">
        <f>1300+220.4</f>
        <v>1520.4</v>
      </c>
      <c r="K72" s="105">
        <f>100+135.774</f>
        <v>235.774</v>
      </c>
      <c r="L72" s="105">
        <v>130</v>
      </c>
      <c r="M72" s="105">
        <v>130</v>
      </c>
      <c r="N72" s="157">
        <f t="shared" si="15"/>
        <v>2016.174</v>
      </c>
      <c r="O72" s="98"/>
    </row>
    <row r="73" spans="1:15" ht="15.6" x14ac:dyDescent="0.3">
      <c r="A73" s="256"/>
      <c r="B73" s="253"/>
      <c r="C73" s="253"/>
      <c r="D73" s="103">
        <v>958</v>
      </c>
      <c r="E73" s="104" t="s">
        <v>271</v>
      </c>
      <c r="F73" s="104" t="s">
        <v>273</v>
      </c>
      <c r="G73" s="103">
        <v>850</v>
      </c>
      <c r="H73" s="105">
        <v>0</v>
      </c>
      <c r="I73" s="105">
        <v>0</v>
      </c>
      <c r="J73" s="105">
        <v>0</v>
      </c>
      <c r="K73" s="105">
        <v>0</v>
      </c>
      <c r="L73" s="105">
        <v>0</v>
      </c>
      <c r="M73" s="105">
        <v>0</v>
      </c>
      <c r="N73" s="157">
        <f t="shared" si="15"/>
        <v>0</v>
      </c>
      <c r="O73" s="98"/>
    </row>
    <row r="74" spans="1:15" ht="15.6" hidden="1" x14ac:dyDescent="0.3">
      <c r="A74" s="257"/>
      <c r="B74" s="253"/>
      <c r="C74" s="253"/>
      <c r="D74" s="103">
        <v>958</v>
      </c>
      <c r="E74" s="104" t="s">
        <v>271</v>
      </c>
      <c r="F74" s="104" t="s">
        <v>273</v>
      </c>
      <c r="G74" s="103"/>
      <c r="H74" s="105">
        <v>0</v>
      </c>
      <c r="I74" s="105">
        <v>0</v>
      </c>
      <c r="J74" s="105">
        <v>0</v>
      </c>
      <c r="K74" s="105">
        <v>0</v>
      </c>
      <c r="L74" s="105">
        <v>0</v>
      </c>
      <c r="M74" s="105">
        <v>0</v>
      </c>
      <c r="N74" s="157">
        <f t="shared" si="15"/>
        <v>0</v>
      </c>
      <c r="O74" s="98"/>
    </row>
    <row r="75" spans="1:15" ht="15.6" hidden="1" x14ac:dyDescent="0.3">
      <c r="A75" s="130"/>
      <c r="B75" s="253"/>
      <c r="C75" s="253"/>
      <c r="D75" s="103">
        <v>958</v>
      </c>
      <c r="E75" s="104" t="s">
        <v>271</v>
      </c>
      <c r="F75" s="103">
        <v>191110031</v>
      </c>
      <c r="G75" s="104" t="s">
        <v>210</v>
      </c>
      <c r="H75" s="105">
        <f>H76</f>
        <v>0</v>
      </c>
      <c r="I75" s="162"/>
      <c r="J75" s="162"/>
      <c r="K75" s="162"/>
      <c r="L75" s="162"/>
      <c r="M75" s="162"/>
      <c r="N75" s="157">
        <v>0</v>
      </c>
      <c r="O75" s="98"/>
    </row>
    <row r="76" spans="1:15" ht="15.6" hidden="1" x14ac:dyDescent="0.3">
      <c r="A76" s="130"/>
      <c r="B76" s="253"/>
      <c r="C76" s="253"/>
      <c r="D76" s="103">
        <v>958</v>
      </c>
      <c r="E76" s="104" t="s">
        <v>271</v>
      </c>
      <c r="F76" s="103">
        <v>191110031</v>
      </c>
      <c r="G76" s="103">
        <v>240</v>
      </c>
      <c r="H76" s="163">
        <v>0</v>
      </c>
      <c r="I76" s="164"/>
      <c r="J76" s="164"/>
      <c r="K76" s="164"/>
      <c r="L76" s="164"/>
      <c r="M76" s="164"/>
      <c r="N76" s="157">
        <v>0</v>
      </c>
      <c r="O76" s="98"/>
    </row>
    <row r="77" spans="1:15" ht="15.6" x14ac:dyDescent="0.3">
      <c r="A77" s="255" t="s">
        <v>275</v>
      </c>
      <c r="B77" s="253" t="s">
        <v>152</v>
      </c>
      <c r="C77" s="253"/>
      <c r="D77" s="103">
        <v>958</v>
      </c>
      <c r="E77" s="104" t="s">
        <v>271</v>
      </c>
      <c r="F77" s="104" t="s">
        <v>276</v>
      </c>
      <c r="G77" s="104" t="s">
        <v>210</v>
      </c>
      <c r="H77" s="105">
        <f t="shared" ref="H77:N77" si="16">H78+H79+H80+H81+H82+H83+H84+H85+H86</f>
        <v>13500.84</v>
      </c>
      <c r="I77" s="105">
        <f t="shared" si="16"/>
        <v>14131.890000000001</v>
      </c>
      <c r="J77" s="105">
        <f t="shared" si="16"/>
        <v>15860.725</v>
      </c>
      <c r="K77" s="105">
        <f t="shared" si="16"/>
        <v>15964.46</v>
      </c>
      <c r="L77" s="105">
        <f t="shared" si="16"/>
        <v>14893.909</v>
      </c>
      <c r="M77" s="105">
        <f t="shared" si="16"/>
        <v>14108.27924</v>
      </c>
      <c r="N77" s="157">
        <f t="shared" si="16"/>
        <v>88460.103239999997</v>
      </c>
      <c r="O77" s="98"/>
    </row>
    <row r="78" spans="1:15" ht="15.6" x14ac:dyDescent="0.3">
      <c r="A78" s="256"/>
      <c r="B78" s="253"/>
      <c r="C78" s="253"/>
      <c r="D78" s="103">
        <v>958</v>
      </c>
      <c r="E78" s="104" t="s">
        <v>271</v>
      </c>
      <c r="F78" s="104" t="s">
        <v>276</v>
      </c>
      <c r="G78" s="103">
        <v>110</v>
      </c>
      <c r="H78" s="105">
        <f>10620.84+62.3+44</f>
        <v>10727.14</v>
      </c>
      <c r="I78" s="105">
        <f>11192+152.78+45.57</f>
        <v>11390.35</v>
      </c>
      <c r="J78" s="105">
        <f>11574.48+650+0.1+7.708+506</f>
        <v>12738.288</v>
      </c>
      <c r="K78" s="105">
        <f>12652.855+45.14</f>
        <v>12697.994999999999</v>
      </c>
      <c r="L78" s="105">
        <v>12715.138999999999</v>
      </c>
      <c r="M78" s="105">
        <v>12030.23724</v>
      </c>
      <c r="N78" s="157">
        <f t="shared" ref="N78:N88" si="17">SUM(H78:M78)</f>
        <v>72299.149239999999</v>
      </c>
      <c r="O78" s="98"/>
    </row>
    <row r="79" spans="1:15" ht="15.6" hidden="1" x14ac:dyDescent="0.3">
      <c r="A79" s="256"/>
      <c r="B79" s="253"/>
      <c r="C79" s="253"/>
      <c r="D79" s="103">
        <v>958</v>
      </c>
      <c r="E79" s="104" t="s">
        <v>271</v>
      </c>
      <c r="F79" s="104" t="s">
        <v>276</v>
      </c>
      <c r="G79" s="103">
        <v>321</v>
      </c>
      <c r="H79" s="105"/>
      <c r="I79" s="105"/>
      <c r="J79" s="105"/>
      <c r="K79" s="105"/>
      <c r="L79" s="105"/>
      <c r="M79" s="105"/>
      <c r="N79" s="157">
        <f t="shared" si="17"/>
        <v>0</v>
      </c>
      <c r="O79" s="98"/>
    </row>
    <row r="80" spans="1:15" ht="15.6" hidden="1" x14ac:dyDescent="0.3">
      <c r="A80" s="256"/>
      <c r="B80" s="253"/>
      <c r="C80" s="253"/>
      <c r="D80" s="103">
        <v>958</v>
      </c>
      <c r="E80" s="104" t="s">
        <v>271</v>
      </c>
      <c r="F80" s="104" t="s">
        <v>276</v>
      </c>
      <c r="G80" s="103">
        <v>112</v>
      </c>
      <c r="H80" s="105"/>
      <c r="I80" s="105"/>
      <c r="J80" s="105"/>
      <c r="K80" s="105"/>
      <c r="L80" s="105"/>
      <c r="M80" s="105"/>
      <c r="N80" s="157">
        <f t="shared" si="17"/>
        <v>0</v>
      </c>
      <c r="O80" s="98"/>
    </row>
    <row r="81" spans="1:15" ht="15.6" hidden="1" x14ac:dyDescent="0.3">
      <c r="A81" s="256"/>
      <c r="B81" s="253"/>
      <c r="C81" s="253"/>
      <c r="D81" s="103">
        <v>958</v>
      </c>
      <c r="E81" s="104" t="s">
        <v>271</v>
      </c>
      <c r="F81" s="104" t="s">
        <v>276</v>
      </c>
      <c r="G81" s="103">
        <v>119</v>
      </c>
      <c r="H81" s="105"/>
      <c r="I81" s="105"/>
      <c r="J81" s="105"/>
      <c r="K81" s="105"/>
      <c r="L81" s="105"/>
      <c r="M81" s="105"/>
      <c r="N81" s="157">
        <f t="shared" si="17"/>
        <v>0</v>
      </c>
      <c r="O81" s="98"/>
    </row>
    <row r="82" spans="1:15" ht="15.6" hidden="1" x14ac:dyDescent="0.3">
      <c r="A82" s="256"/>
      <c r="B82" s="253"/>
      <c r="C82" s="253"/>
      <c r="D82" s="103">
        <v>958</v>
      </c>
      <c r="E82" s="104" t="s">
        <v>271</v>
      </c>
      <c r="F82" s="104" t="s">
        <v>276</v>
      </c>
      <c r="G82" s="103">
        <v>242</v>
      </c>
      <c r="H82" s="105"/>
      <c r="I82" s="105"/>
      <c r="J82" s="105"/>
      <c r="K82" s="105"/>
      <c r="L82" s="105"/>
      <c r="M82" s="105"/>
      <c r="N82" s="157">
        <f t="shared" si="17"/>
        <v>0</v>
      </c>
      <c r="O82" s="98"/>
    </row>
    <row r="83" spans="1:15" ht="15.6" x14ac:dyDescent="0.3">
      <c r="A83" s="256"/>
      <c r="B83" s="253"/>
      <c r="C83" s="253"/>
      <c r="D83" s="103">
        <v>958</v>
      </c>
      <c r="E83" s="104" t="s">
        <v>271</v>
      </c>
      <c r="F83" s="104" t="s">
        <v>276</v>
      </c>
      <c r="G83" s="103">
        <v>240</v>
      </c>
      <c r="H83" s="105">
        <f>2723.2+3.5</f>
        <v>2726.7</v>
      </c>
      <c r="I83" s="105">
        <f>2700+8</f>
        <v>2708</v>
      </c>
      <c r="J83" s="105">
        <f>2843.52+7.425+240</f>
        <v>3090.9450000000002</v>
      </c>
      <c r="K83" s="105">
        <f>3200+28.4</f>
        <v>3228.4</v>
      </c>
      <c r="L83" s="105">
        <v>2141.4340000000002</v>
      </c>
      <c r="M83" s="105">
        <v>2041.434</v>
      </c>
      <c r="N83" s="157">
        <f t="shared" si="17"/>
        <v>15936.912999999999</v>
      </c>
      <c r="O83" s="98"/>
    </row>
    <row r="84" spans="1:15" ht="15.6" x14ac:dyDescent="0.3">
      <c r="A84" s="256"/>
      <c r="B84" s="253"/>
      <c r="C84" s="253"/>
      <c r="D84" s="103">
        <v>958</v>
      </c>
      <c r="E84" s="104" t="s">
        <v>271</v>
      </c>
      <c r="F84" s="104" t="s">
        <v>276</v>
      </c>
      <c r="G84" s="103">
        <v>850</v>
      </c>
      <c r="H84" s="105">
        <f>33.6+9.4+4</f>
        <v>47</v>
      </c>
      <c r="I84" s="105">
        <f>42.2-6.16-2.5</f>
        <v>33.540000000000006</v>
      </c>
      <c r="J84" s="105">
        <f>39.2-7.708</f>
        <v>31.492000000000004</v>
      </c>
      <c r="K84" s="105">
        <v>38.064999999999998</v>
      </c>
      <c r="L84" s="105">
        <v>37.335999999999999</v>
      </c>
      <c r="M84" s="105">
        <v>36.607999999999997</v>
      </c>
      <c r="N84" s="157">
        <f t="shared" si="17"/>
        <v>224.041</v>
      </c>
      <c r="O84" s="98"/>
    </row>
    <row r="85" spans="1:15" ht="15.6" hidden="1" x14ac:dyDescent="0.3">
      <c r="A85" s="256"/>
      <c r="B85" s="253"/>
      <c r="C85" s="253"/>
      <c r="D85" s="103">
        <v>958</v>
      </c>
      <c r="E85" s="104" t="s">
        <v>271</v>
      </c>
      <c r="F85" s="104" t="s">
        <v>276</v>
      </c>
      <c r="G85" s="103">
        <v>852</v>
      </c>
      <c r="H85" s="105"/>
      <c r="I85" s="105"/>
      <c r="J85" s="105"/>
      <c r="K85" s="105"/>
      <c r="L85" s="105"/>
      <c r="M85" s="105"/>
      <c r="N85" s="157">
        <f t="shared" si="17"/>
        <v>0</v>
      </c>
      <c r="O85" s="98"/>
    </row>
    <row r="86" spans="1:15" ht="15.6" hidden="1" x14ac:dyDescent="0.3">
      <c r="A86" s="257"/>
      <c r="B86" s="253"/>
      <c r="C86" s="253"/>
      <c r="D86" s="103">
        <v>958</v>
      </c>
      <c r="E86" s="104" t="s">
        <v>271</v>
      </c>
      <c r="F86" s="104" t="s">
        <v>276</v>
      </c>
      <c r="G86" s="103">
        <v>853</v>
      </c>
      <c r="H86" s="105"/>
      <c r="I86" s="105"/>
      <c r="J86" s="105"/>
      <c r="K86" s="105"/>
      <c r="L86" s="105"/>
      <c r="M86" s="105"/>
      <c r="N86" s="157">
        <f t="shared" si="17"/>
        <v>0</v>
      </c>
      <c r="O86" s="98"/>
    </row>
    <row r="87" spans="1:15" ht="31.2" x14ac:dyDescent="0.3">
      <c r="A87" s="124" t="s">
        <v>154</v>
      </c>
      <c r="B87" s="20" t="s">
        <v>155</v>
      </c>
      <c r="C87" s="253"/>
      <c r="D87" s="103">
        <v>958</v>
      </c>
      <c r="E87" s="104" t="s">
        <v>271</v>
      </c>
      <c r="F87" s="104" t="s">
        <v>277</v>
      </c>
      <c r="G87" s="103">
        <v>244</v>
      </c>
      <c r="H87" s="105">
        <v>0</v>
      </c>
      <c r="I87" s="105">
        <v>0</v>
      </c>
      <c r="J87" s="105">
        <v>0</v>
      </c>
      <c r="K87" s="105">
        <v>0</v>
      </c>
      <c r="L87" s="105">
        <v>0</v>
      </c>
      <c r="M87" s="105">
        <v>0</v>
      </c>
      <c r="N87" s="157">
        <f t="shared" si="17"/>
        <v>0</v>
      </c>
      <c r="O87" s="98"/>
    </row>
    <row r="88" spans="1:15" ht="46.8" x14ac:dyDescent="0.3">
      <c r="A88" s="124" t="s">
        <v>157</v>
      </c>
      <c r="B88" s="102" t="s">
        <v>278</v>
      </c>
      <c r="C88" s="253"/>
      <c r="D88" s="103">
        <v>958</v>
      </c>
      <c r="E88" s="104" t="s">
        <v>271</v>
      </c>
      <c r="F88" s="104" t="s">
        <v>279</v>
      </c>
      <c r="G88" s="103">
        <v>620</v>
      </c>
      <c r="H88" s="165">
        <f>'5'!D357</f>
        <v>2043.3989999999999</v>
      </c>
      <c r="I88" s="165">
        <f>'5'!E357</f>
        <v>2073.77</v>
      </c>
      <c r="J88" s="165">
        <f>'5'!F357</f>
        <v>2283.4047799999998</v>
      </c>
      <c r="K88" s="165">
        <f>'5'!G357</f>
        <v>2573.0050000000001</v>
      </c>
      <c r="L88" s="165">
        <f>'5'!H357</f>
        <v>2356.9</v>
      </c>
      <c r="M88" s="165">
        <f>'5'!I357</f>
        <v>2356.9</v>
      </c>
      <c r="N88" s="157">
        <f t="shared" si="17"/>
        <v>13687.378779999999</v>
      </c>
      <c r="O88" s="98"/>
    </row>
    <row r="89" spans="1:15" ht="31.2" x14ac:dyDescent="0.3">
      <c r="A89" s="124" t="s">
        <v>17</v>
      </c>
      <c r="B89" s="100" t="s">
        <v>161</v>
      </c>
      <c r="C89" s="253"/>
      <c r="D89" s="96">
        <v>958</v>
      </c>
      <c r="E89" s="97" t="s">
        <v>271</v>
      </c>
      <c r="F89" s="97" t="s">
        <v>280</v>
      </c>
      <c r="G89" s="97" t="s">
        <v>210</v>
      </c>
      <c r="H89" s="155">
        <f t="shared" ref="H89:M89" si="18">H90</f>
        <v>74</v>
      </c>
      <c r="I89" s="155">
        <f t="shared" si="18"/>
        <v>124</v>
      </c>
      <c r="J89" s="155">
        <f t="shared" si="18"/>
        <v>125</v>
      </c>
      <c r="K89" s="155">
        <f t="shared" si="18"/>
        <v>125</v>
      </c>
      <c r="L89" s="155">
        <f t="shared" si="18"/>
        <v>125</v>
      </c>
      <c r="M89" s="155">
        <f t="shared" si="18"/>
        <v>125</v>
      </c>
      <c r="N89" s="156">
        <f>N90</f>
        <v>698</v>
      </c>
      <c r="O89" s="98"/>
    </row>
    <row r="90" spans="1:15" ht="78" x14ac:dyDescent="0.3">
      <c r="A90" s="124" t="s">
        <v>281</v>
      </c>
      <c r="B90" s="102" t="s">
        <v>163</v>
      </c>
      <c r="C90" s="253"/>
      <c r="D90" s="103">
        <v>958</v>
      </c>
      <c r="E90" s="104" t="s">
        <v>242</v>
      </c>
      <c r="F90" s="104" t="s">
        <v>282</v>
      </c>
      <c r="G90" s="103">
        <v>240</v>
      </c>
      <c r="H90" s="161">
        <f>'5'!D367</f>
        <v>74</v>
      </c>
      <c r="I90" s="161">
        <f>'5'!E367</f>
        <v>124</v>
      </c>
      <c r="J90" s="161">
        <f>'5'!F367</f>
        <v>125</v>
      </c>
      <c r="K90" s="161">
        <f>'5'!G367</f>
        <v>125</v>
      </c>
      <c r="L90" s="161">
        <f>'5'!H367</f>
        <v>125</v>
      </c>
      <c r="M90" s="161">
        <f>'5'!I367</f>
        <v>125</v>
      </c>
      <c r="N90" s="157">
        <f>SUM(H90:M90)</f>
        <v>698</v>
      </c>
      <c r="O90" s="98"/>
    </row>
    <row r="91" spans="1:15" s="132" customFormat="1" ht="15.6" x14ac:dyDescent="0.3">
      <c r="B91" s="265"/>
      <c r="C91" s="266"/>
      <c r="D91" s="133"/>
      <c r="E91" s="134"/>
      <c r="F91" s="133"/>
      <c r="G91" s="134"/>
      <c r="H91" s="135"/>
      <c r="I91" s="135"/>
      <c r="J91" s="135"/>
      <c r="K91" s="135"/>
      <c r="L91" s="135"/>
      <c r="M91" s="135"/>
      <c r="N91" s="135"/>
    </row>
    <row r="92" spans="1:15" ht="15.6" x14ac:dyDescent="0.3">
      <c r="B92" s="265"/>
      <c r="C92" s="266"/>
      <c r="D92" s="133"/>
      <c r="E92" s="134"/>
      <c r="F92" s="133"/>
      <c r="G92" s="133"/>
      <c r="H92" s="14"/>
      <c r="I92" s="14"/>
      <c r="J92" s="14"/>
      <c r="K92" s="14"/>
      <c r="L92" s="14"/>
      <c r="M92" s="14"/>
      <c r="N92" s="14"/>
    </row>
    <row r="93" spans="1:15" x14ac:dyDescent="0.3">
      <c r="B93" s="136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5" x14ac:dyDescent="0.3">
      <c r="B94" s="136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</sheetData>
  <mergeCells count="19">
    <mergeCell ref="B91:B92"/>
    <mergeCell ref="C91:C92"/>
    <mergeCell ref="C16:C28"/>
    <mergeCell ref="C50:C61"/>
    <mergeCell ref="C66:C90"/>
    <mergeCell ref="A77:A86"/>
    <mergeCell ref="B77:B86"/>
    <mergeCell ref="H5:L7"/>
    <mergeCell ref="A10:L12"/>
    <mergeCell ref="A14:A15"/>
    <mergeCell ref="B14:B15"/>
    <mergeCell ref="C14:C15"/>
    <mergeCell ref="D14:G14"/>
    <mergeCell ref="H14:N14"/>
    <mergeCell ref="J1:N1"/>
    <mergeCell ref="J2:N2"/>
    <mergeCell ref="J3:N3"/>
    <mergeCell ref="A68:A74"/>
    <mergeCell ref="B68:B76"/>
  </mergeCells>
  <pageMargins left="0" right="0" top="0" bottom="0" header="0.31496062992125984" footer="0.31496062992125984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0"/>
  <sheetViews>
    <sheetView view="pageBreakPreview" topLeftCell="A123" zoomScale="85" zoomScaleNormal="100" zoomScaleSheetLayoutView="85" workbookViewId="0">
      <selection activeCell="D132" sqref="D132"/>
    </sheetView>
  </sheetViews>
  <sheetFormatPr defaultColWidth="9.109375" defaultRowHeight="14.4" x14ac:dyDescent="0.3"/>
  <cols>
    <col min="1" max="1" width="8" style="70" customWidth="1"/>
    <col min="2" max="2" width="45.44140625" style="70" customWidth="1"/>
    <col min="3" max="3" width="16.33203125" style="70" customWidth="1"/>
    <col min="4" max="4" width="11.6640625" style="70" customWidth="1"/>
    <col min="5" max="5" width="14.88671875" style="70" customWidth="1"/>
    <col min="6" max="6" width="11.6640625" style="70" customWidth="1"/>
    <col min="7" max="7" width="15.109375" style="70" customWidth="1"/>
    <col min="8" max="9" width="15.33203125" style="70" customWidth="1"/>
    <col min="10" max="10" width="17" style="70" customWidth="1"/>
    <col min="11" max="11" width="15" style="71" customWidth="1"/>
    <col min="12" max="12" width="12.44140625" style="70" customWidth="1"/>
    <col min="13" max="16384" width="9.109375" style="70"/>
  </cols>
  <sheetData>
    <row r="1" spans="1:13" customFormat="1" x14ac:dyDescent="0.3">
      <c r="C1" s="141"/>
      <c r="D1" s="207" t="s">
        <v>324</v>
      </c>
      <c r="E1" s="207"/>
      <c r="F1" s="207"/>
      <c r="G1" s="207"/>
    </row>
    <row r="2" spans="1:13" customFormat="1" x14ac:dyDescent="0.3">
      <c r="C2" s="141"/>
      <c r="D2" s="207" t="s">
        <v>291</v>
      </c>
      <c r="E2" s="207"/>
      <c r="F2" s="207"/>
      <c r="G2" s="207"/>
    </row>
    <row r="3" spans="1:13" customFormat="1" x14ac:dyDescent="0.3">
      <c r="C3" s="141"/>
      <c r="D3" s="207" t="s">
        <v>292</v>
      </c>
      <c r="E3" s="207"/>
      <c r="F3" s="207"/>
      <c r="G3" s="207"/>
    </row>
    <row r="4" spans="1:13" customFormat="1" x14ac:dyDescent="0.3">
      <c r="D4" s="70"/>
      <c r="E4" s="70" t="s">
        <v>320</v>
      </c>
      <c r="F4" s="70"/>
      <c r="G4" s="70"/>
    </row>
    <row r="5" spans="1:13" hidden="1" x14ac:dyDescent="0.3"/>
    <row r="6" spans="1:13" hidden="1" x14ac:dyDescent="0.3"/>
    <row r="7" spans="1:13" hidden="1" x14ac:dyDescent="0.3"/>
    <row r="8" spans="1:13" ht="10.199999999999999" hidden="1" customHeight="1" x14ac:dyDescent="0.3">
      <c r="D8" s="271"/>
      <c r="E8" s="271"/>
      <c r="F8" s="271"/>
      <c r="G8" s="271"/>
    </row>
    <row r="9" spans="1:13" ht="6" customHeight="1" x14ac:dyDescent="0.3">
      <c r="D9" s="271"/>
      <c r="E9" s="271"/>
      <c r="F9" s="271"/>
      <c r="G9" s="271"/>
    </row>
    <row r="10" spans="1:13" ht="11.25" customHeight="1" x14ac:dyDescent="0.35">
      <c r="D10" s="272" t="s">
        <v>332</v>
      </c>
      <c r="E10" s="272"/>
      <c r="F10" s="272"/>
      <c r="G10" s="272"/>
      <c r="H10" s="272"/>
      <c r="I10" s="173"/>
    </row>
    <row r="11" spans="1:13" ht="10.5" customHeight="1" x14ac:dyDescent="0.35">
      <c r="D11" s="272"/>
      <c r="E11" s="272"/>
      <c r="F11" s="272"/>
      <c r="G11" s="272"/>
      <c r="H11" s="272"/>
      <c r="I11" s="173"/>
    </row>
    <row r="12" spans="1:13" ht="16.5" customHeight="1" x14ac:dyDescent="0.35">
      <c r="D12" s="272"/>
      <c r="E12" s="272"/>
      <c r="F12" s="272"/>
      <c r="G12" s="272"/>
      <c r="H12" s="272"/>
      <c r="I12" s="173"/>
      <c r="K12" s="72"/>
      <c r="L12" s="72"/>
    </row>
    <row r="13" spans="1:13" ht="18" customHeight="1" x14ac:dyDescent="0.35">
      <c r="D13" s="272"/>
      <c r="E13" s="272"/>
      <c r="F13" s="272"/>
      <c r="G13" s="272"/>
      <c r="H13" s="272"/>
      <c r="I13" s="173"/>
      <c r="K13" s="72"/>
      <c r="L13" s="73"/>
      <c r="M13" s="73"/>
    </row>
    <row r="14" spans="1:13" ht="15.6" hidden="1" x14ac:dyDescent="0.3">
      <c r="K14" s="72"/>
      <c r="L14" s="72"/>
    </row>
    <row r="15" spans="1:13" ht="24" customHeight="1" x14ac:dyDescent="0.3">
      <c r="A15" s="273" t="s">
        <v>333</v>
      </c>
      <c r="B15" s="273"/>
      <c r="C15" s="273"/>
      <c r="D15" s="273"/>
      <c r="E15" s="273"/>
      <c r="F15" s="273"/>
      <c r="G15" s="273"/>
      <c r="K15" s="72"/>
      <c r="L15" s="72"/>
      <c r="M15" s="73"/>
    </row>
    <row r="16" spans="1:13" ht="15" customHeight="1" x14ac:dyDescent="0.3">
      <c r="A16" s="273"/>
      <c r="B16" s="273"/>
      <c r="C16" s="273"/>
      <c r="D16" s="273"/>
      <c r="E16" s="273"/>
      <c r="F16" s="273"/>
      <c r="G16" s="273"/>
      <c r="K16" s="23"/>
      <c r="L16" s="23"/>
    </row>
    <row r="17" spans="1:12" ht="15" customHeight="1" x14ac:dyDescent="0.3">
      <c r="A17" s="273"/>
      <c r="B17" s="273"/>
      <c r="C17" s="273"/>
      <c r="D17" s="273"/>
      <c r="E17" s="273"/>
      <c r="F17" s="273"/>
      <c r="G17" s="273"/>
      <c r="L17" s="71"/>
    </row>
    <row r="18" spans="1:12" ht="27" customHeight="1" x14ac:dyDescent="0.3">
      <c r="A18" s="273"/>
      <c r="B18" s="273"/>
      <c r="C18" s="273"/>
      <c r="D18" s="273"/>
      <c r="E18" s="273"/>
      <c r="F18" s="273"/>
      <c r="G18" s="273"/>
    </row>
    <row r="19" spans="1:12" ht="0.75" customHeight="1" x14ac:dyDescent="0.3">
      <c r="A19" s="273"/>
      <c r="B19" s="273"/>
      <c r="C19" s="273"/>
      <c r="D19" s="273"/>
      <c r="E19" s="273"/>
      <c r="F19" s="273"/>
      <c r="G19" s="273"/>
    </row>
    <row r="20" spans="1:12" ht="10.5" hidden="1" customHeight="1" x14ac:dyDescent="0.3">
      <c r="A20" s="273"/>
      <c r="B20" s="273"/>
      <c r="C20" s="273"/>
      <c r="D20" s="273"/>
      <c r="E20" s="273"/>
      <c r="F20" s="273"/>
      <c r="G20" s="273"/>
    </row>
    <row r="21" spans="1:12" ht="17.25" customHeight="1" x14ac:dyDescent="0.3">
      <c r="A21" s="74"/>
      <c r="B21" s="74"/>
      <c r="C21" s="75"/>
      <c r="D21" s="75"/>
      <c r="E21" s="75"/>
      <c r="F21" s="76"/>
      <c r="G21" s="76"/>
    </row>
    <row r="22" spans="1:12" ht="21.75" customHeight="1" x14ac:dyDescent="0.3">
      <c r="A22" s="77" t="s">
        <v>36</v>
      </c>
      <c r="B22" s="274" t="s">
        <v>37</v>
      </c>
      <c r="C22" s="274" t="s">
        <v>170</v>
      </c>
      <c r="D22" s="276" t="s">
        <v>171</v>
      </c>
      <c r="E22" s="276"/>
      <c r="F22" s="276"/>
      <c r="G22" s="276"/>
      <c r="H22" s="276"/>
      <c r="I22" s="276"/>
      <c r="J22" s="276"/>
    </row>
    <row r="23" spans="1:12" ht="30" customHeight="1" x14ac:dyDescent="0.3">
      <c r="A23" s="77"/>
      <c r="B23" s="275"/>
      <c r="C23" s="275"/>
      <c r="D23" s="78">
        <v>2020</v>
      </c>
      <c r="E23" s="78">
        <v>2021</v>
      </c>
      <c r="F23" s="78">
        <v>2022</v>
      </c>
      <c r="G23" s="78">
        <v>2023</v>
      </c>
      <c r="H23" s="78">
        <v>2024</v>
      </c>
      <c r="I23" s="78">
        <v>2025</v>
      </c>
      <c r="J23" s="78" t="s">
        <v>172</v>
      </c>
      <c r="K23" s="79"/>
    </row>
    <row r="24" spans="1:12" ht="34.5" customHeight="1" x14ac:dyDescent="0.3">
      <c r="A24" s="267"/>
      <c r="B24" s="268" t="s">
        <v>312</v>
      </c>
      <c r="C24" s="80" t="s">
        <v>173</v>
      </c>
      <c r="D24" s="148">
        <f t="shared" ref="D24:I28" si="0">D29+D119+D244+D329</f>
        <v>495196.28900000011</v>
      </c>
      <c r="E24" s="148">
        <f t="shared" si="0"/>
        <v>546328.5674399999</v>
      </c>
      <c r="F24" s="148">
        <f t="shared" si="0"/>
        <v>647018.37677999993</v>
      </c>
      <c r="G24" s="148">
        <f>G29+G119+G244+G329</f>
        <v>562715.67924999993</v>
      </c>
      <c r="H24" s="148">
        <f t="shared" si="0"/>
        <v>572471.62279000005</v>
      </c>
      <c r="I24" s="148">
        <f t="shared" si="0"/>
        <v>581477.22987000016</v>
      </c>
      <c r="J24" s="148">
        <f>J29+J119+J244+J329-0.01</f>
        <v>3405202.7551300009</v>
      </c>
      <c r="K24" s="81"/>
      <c r="L24" s="73"/>
    </row>
    <row r="25" spans="1:12" ht="32.25" customHeight="1" x14ac:dyDescent="0.3">
      <c r="A25" s="267"/>
      <c r="B25" s="268"/>
      <c r="C25" s="82" t="s">
        <v>174</v>
      </c>
      <c r="D25" s="148">
        <f t="shared" si="0"/>
        <v>0</v>
      </c>
      <c r="E25" s="148">
        <f t="shared" si="0"/>
        <v>0</v>
      </c>
      <c r="F25" s="148">
        <f t="shared" si="0"/>
        <v>0</v>
      </c>
      <c r="G25" s="148">
        <f t="shared" si="0"/>
        <v>0</v>
      </c>
      <c r="H25" s="148">
        <f t="shared" si="0"/>
        <v>0</v>
      </c>
      <c r="I25" s="148">
        <f t="shared" si="0"/>
        <v>0</v>
      </c>
      <c r="J25" s="148">
        <f>J30+J120+J245+J330</f>
        <v>0</v>
      </c>
      <c r="K25" s="81"/>
      <c r="L25" s="73"/>
    </row>
    <row r="26" spans="1:12" ht="24.75" customHeight="1" x14ac:dyDescent="0.3">
      <c r="A26" s="267"/>
      <c r="B26" s="268"/>
      <c r="C26" s="82" t="s">
        <v>175</v>
      </c>
      <c r="D26" s="148">
        <f t="shared" si="0"/>
        <v>319247.19</v>
      </c>
      <c r="E26" s="148">
        <f t="shared" si="0"/>
        <v>360940.33744000003</v>
      </c>
      <c r="F26" s="148">
        <f t="shared" si="0"/>
        <v>432908.26014000003</v>
      </c>
      <c r="G26" s="148">
        <f>G31+G121+G246+G331</f>
        <v>339907.87770000001</v>
      </c>
      <c r="H26" s="148">
        <f t="shared" si="0"/>
        <v>367399.21010000003</v>
      </c>
      <c r="I26" s="148">
        <f t="shared" si="0"/>
        <v>384287.90400000004</v>
      </c>
      <c r="J26" s="148">
        <f>J31+J121+J246+J331</f>
        <v>2203701.35458</v>
      </c>
      <c r="K26" s="81"/>
      <c r="L26" s="73"/>
    </row>
    <row r="27" spans="1:12" ht="37.5" customHeight="1" x14ac:dyDescent="0.3">
      <c r="A27" s="267"/>
      <c r="B27" s="268"/>
      <c r="C27" s="80" t="s">
        <v>176</v>
      </c>
      <c r="D27" s="148">
        <f t="shared" si="0"/>
        <v>175949.09900000002</v>
      </c>
      <c r="E27" s="148">
        <f t="shared" si="0"/>
        <v>185388.23</v>
      </c>
      <c r="F27" s="148">
        <f t="shared" si="0"/>
        <v>214110.11663999991</v>
      </c>
      <c r="G27" s="148">
        <f t="shared" si="0"/>
        <v>222807.80155</v>
      </c>
      <c r="H27" s="148">
        <f t="shared" si="0"/>
        <v>200991.03539</v>
      </c>
      <c r="I27" s="148">
        <f t="shared" si="0"/>
        <v>193107.94857000001</v>
      </c>
      <c r="J27" s="148">
        <f>J32+J122+J247+J332-0.01</f>
        <v>1192354.2211499999</v>
      </c>
      <c r="K27" s="81"/>
      <c r="L27" s="73"/>
    </row>
    <row r="28" spans="1:12" ht="24.75" customHeight="1" x14ac:dyDescent="0.3">
      <c r="A28" s="267"/>
      <c r="B28" s="268"/>
      <c r="C28" s="80" t="s">
        <v>177</v>
      </c>
      <c r="D28" s="148">
        <f t="shared" si="0"/>
        <v>0</v>
      </c>
      <c r="E28" s="148">
        <f t="shared" si="0"/>
        <v>0</v>
      </c>
      <c r="F28" s="148">
        <f t="shared" si="0"/>
        <v>0</v>
      </c>
      <c r="G28" s="148">
        <f t="shared" si="0"/>
        <v>0</v>
      </c>
      <c r="H28" s="148">
        <f t="shared" si="0"/>
        <v>0</v>
      </c>
      <c r="I28" s="148">
        <f t="shared" si="0"/>
        <v>0</v>
      </c>
      <c r="J28" s="148">
        <f>J33+J123+J248+J333</f>
        <v>0</v>
      </c>
      <c r="K28" s="81"/>
      <c r="L28" s="73"/>
    </row>
    <row r="29" spans="1:12" ht="32.25" customHeight="1" x14ac:dyDescent="0.3">
      <c r="A29" s="269" t="s">
        <v>44</v>
      </c>
      <c r="B29" s="268" t="s">
        <v>334</v>
      </c>
      <c r="C29" s="80" t="s">
        <v>173</v>
      </c>
      <c r="D29" s="148">
        <f t="shared" ref="D29:J29" si="1">D34+D44+D99+D109</f>
        <v>112075.72</v>
      </c>
      <c r="E29" s="148">
        <f t="shared" si="1"/>
        <v>122757.45499999999</v>
      </c>
      <c r="F29" s="148">
        <f t="shared" si="1"/>
        <v>142853.7936699999</v>
      </c>
      <c r="G29" s="148">
        <f>G34+G44+G99+G109</f>
        <v>143261.2702</v>
      </c>
      <c r="H29" s="148">
        <f t="shared" si="1"/>
        <v>148944.84930000003</v>
      </c>
      <c r="I29" s="148">
        <f t="shared" si="1"/>
        <v>152353.6073</v>
      </c>
      <c r="J29" s="148">
        <f t="shared" si="1"/>
        <v>822246.69546999992</v>
      </c>
      <c r="K29" s="81"/>
      <c r="L29" s="73"/>
    </row>
    <row r="30" spans="1:12" ht="23.25" customHeight="1" x14ac:dyDescent="0.3">
      <c r="A30" s="269"/>
      <c r="B30" s="268"/>
      <c r="C30" s="82" t="s">
        <v>174</v>
      </c>
      <c r="D30" s="148">
        <f t="shared" ref="D30:J30" si="2">D35+D45+D100</f>
        <v>0</v>
      </c>
      <c r="E30" s="148">
        <f t="shared" si="2"/>
        <v>0</v>
      </c>
      <c r="F30" s="148">
        <f t="shared" si="2"/>
        <v>0</v>
      </c>
      <c r="G30" s="148">
        <f t="shared" si="2"/>
        <v>0</v>
      </c>
      <c r="H30" s="148">
        <f t="shared" si="2"/>
        <v>0</v>
      </c>
      <c r="I30" s="148">
        <f t="shared" si="2"/>
        <v>0</v>
      </c>
      <c r="J30" s="148">
        <f t="shared" si="2"/>
        <v>0</v>
      </c>
      <c r="K30" s="81"/>
      <c r="L30" s="73"/>
    </row>
    <row r="31" spans="1:12" ht="23.25" customHeight="1" x14ac:dyDescent="0.3">
      <c r="A31" s="269"/>
      <c r="B31" s="268"/>
      <c r="C31" s="82" t="s">
        <v>175</v>
      </c>
      <c r="D31" s="148">
        <f t="shared" ref="D31:J32" si="3">D36+D46+D101+D111</f>
        <v>68385.53</v>
      </c>
      <c r="E31" s="148">
        <f t="shared" si="3"/>
        <v>79170.024999999994</v>
      </c>
      <c r="F31" s="148">
        <f t="shared" si="3"/>
        <v>88167.702430000005</v>
      </c>
      <c r="G31" s="148">
        <f t="shared" si="3"/>
        <v>83259.873650000009</v>
      </c>
      <c r="H31" s="148">
        <f t="shared" si="3"/>
        <v>99521.847999999998</v>
      </c>
      <c r="I31" s="148">
        <f t="shared" si="3"/>
        <v>105430.952</v>
      </c>
      <c r="J31" s="148">
        <f t="shared" si="3"/>
        <v>523935.93107999995</v>
      </c>
      <c r="K31" s="81"/>
      <c r="L31" s="73"/>
    </row>
    <row r="32" spans="1:12" ht="35.25" customHeight="1" x14ac:dyDescent="0.3">
      <c r="A32" s="269"/>
      <c r="B32" s="268"/>
      <c r="C32" s="80" t="s">
        <v>176</v>
      </c>
      <c r="D32" s="148">
        <f t="shared" si="3"/>
        <v>43690.189999999995</v>
      </c>
      <c r="E32" s="148">
        <f t="shared" si="3"/>
        <v>43587.43</v>
      </c>
      <c r="F32" s="148">
        <f t="shared" si="3"/>
        <v>54686.091239999892</v>
      </c>
      <c r="G32" s="148">
        <f t="shared" si="3"/>
        <v>60001.396549999998</v>
      </c>
      <c r="H32" s="148">
        <f t="shared" si="3"/>
        <v>49423.001300000004</v>
      </c>
      <c r="I32" s="148">
        <f t="shared" si="3"/>
        <v>46922.655299999999</v>
      </c>
      <c r="J32" s="148">
        <f t="shared" si="3"/>
        <v>298310.76438999991</v>
      </c>
      <c r="K32" s="81"/>
      <c r="L32" s="73"/>
    </row>
    <row r="33" spans="1:12" ht="16.5" customHeight="1" x14ac:dyDescent="0.3">
      <c r="A33" s="269"/>
      <c r="B33" s="268"/>
      <c r="C33" s="80" t="s">
        <v>177</v>
      </c>
      <c r="D33" s="148">
        <f t="shared" ref="D33:J33" si="4">D38+D48+D103</f>
        <v>0</v>
      </c>
      <c r="E33" s="148">
        <f t="shared" si="4"/>
        <v>0</v>
      </c>
      <c r="F33" s="148">
        <f t="shared" si="4"/>
        <v>0</v>
      </c>
      <c r="G33" s="148">
        <f t="shared" si="4"/>
        <v>0</v>
      </c>
      <c r="H33" s="148">
        <f t="shared" si="4"/>
        <v>0</v>
      </c>
      <c r="I33" s="148">
        <f t="shared" si="4"/>
        <v>0</v>
      </c>
      <c r="J33" s="148">
        <f t="shared" si="4"/>
        <v>0</v>
      </c>
      <c r="K33" s="81"/>
      <c r="L33" s="73"/>
    </row>
    <row r="34" spans="1:12" ht="35.25" customHeight="1" x14ac:dyDescent="0.3">
      <c r="A34" s="270" t="s">
        <v>6</v>
      </c>
      <c r="B34" s="268" t="s">
        <v>45</v>
      </c>
      <c r="C34" s="80" t="s">
        <v>173</v>
      </c>
      <c r="D34" s="148">
        <f>D39</f>
        <v>109010.79</v>
      </c>
      <c r="E34" s="148">
        <f t="shared" ref="E34:H38" si="5">E39</f>
        <v>118077.62</v>
      </c>
      <c r="F34" s="148">
        <f t="shared" si="5"/>
        <v>130212.7966899999</v>
      </c>
      <c r="G34" s="148">
        <f t="shared" si="5"/>
        <v>129989.64318</v>
      </c>
      <c r="H34" s="148">
        <f t="shared" si="5"/>
        <v>144266.80209000001</v>
      </c>
      <c r="I34" s="148">
        <f t="shared" ref="I34:J38" si="6">I39</f>
        <v>147995.7703</v>
      </c>
      <c r="J34" s="148">
        <f t="shared" si="6"/>
        <v>779553.4222599999</v>
      </c>
      <c r="K34" s="81"/>
      <c r="L34" s="73"/>
    </row>
    <row r="35" spans="1:12" ht="28.5" customHeight="1" x14ac:dyDescent="0.3">
      <c r="A35" s="270"/>
      <c r="B35" s="268"/>
      <c r="C35" s="82" t="s">
        <v>174</v>
      </c>
      <c r="D35" s="148">
        <f>D40</f>
        <v>0</v>
      </c>
      <c r="E35" s="148">
        <f t="shared" si="5"/>
        <v>0</v>
      </c>
      <c r="F35" s="148">
        <f t="shared" si="5"/>
        <v>0</v>
      </c>
      <c r="G35" s="148">
        <f t="shared" si="5"/>
        <v>0</v>
      </c>
      <c r="H35" s="148">
        <f t="shared" si="5"/>
        <v>0</v>
      </c>
      <c r="I35" s="148">
        <f t="shared" si="6"/>
        <v>0</v>
      </c>
      <c r="J35" s="148">
        <f t="shared" si="6"/>
        <v>0</v>
      </c>
      <c r="K35" s="81"/>
      <c r="L35" s="73"/>
    </row>
    <row r="36" spans="1:12" ht="24.75" customHeight="1" x14ac:dyDescent="0.3">
      <c r="A36" s="270"/>
      <c r="B36" s="268"/>
      <c r="C36" s="82" t="s">
        <v>175</v>
      </c>
      <c r="D36" s="148">
        <f>D41</f>
        <v>66503.23</v>
      </c>
      <c r="E36" s="148">
        <f t="shared" si="5"/>
        <v>75593.87</v>
      </c>
      <c r="F36" s="148">
        <f t="shared" si="5"/>
        <v>85090.418000000005</v>
      </c>
      <c r="G36" s="148">
        <f t="shared" si="5"/>
        <v>77355.974000000002</v>
      </c>
      <c r="H36" s="148">
        <f t="shared" si="5"/>
        <v>95578.74</v>
      </c>
      <c r="I36" s="148">
        <f t="shared" si="6"/>
        <v>101331.11500000001</v>
      </c>
      <c r="J36" s="148">
        <f t="shared" si="6"/>
        <v>501453.34699999995</v>
      </c>
      <c r="K36" s="81"/>
      <c r="L36" s="73"/>
    </row>
    <row r="37" spans="1:12" ht="36" customHeight="1" x14ac:dyDescent="0.3">
      <c r="A37" s="270"/>
      <c r="B37" s="268"/>
      <c r="C37" s="80" t="s">
        <v>176</v>
      </c>
      <c r="D37" s="148">
        <f>D42</f>
        <v>42507.56</v>
      </c>
      <c r="E37" s="148">
        <f t="shared" si="5"/>
        <v>42483.75</v>
      </c>
      <c r="F37" s="148">
        <f t="shared" si="5"/>
        <v>45122.378689999896</v>
      </c>
      <c r="G37" s="148">
        <f t="shared" si="5"/>
        <v>52633.669179999997</v>
      </c>
      <c r="H37" s="148">
        <f t="shared" si="5"/>
        <v>48688.062090000007</v>
      </c>
      <c r="I37" s="148">
        <f t="shared" si="6"/>
        <v>46664.655299999999</v>
      </c>
      <c r="J37" s="148">
        <f t="shared" si="6"/>
        <v>278100.0752599999</v>
      </c>
      <c r="K37" s="81"/>
      <c r="L37" s="73"/>
    </row>
    <row r="38" spans="1:12" ht="19.5" customHeight="1" x14ac:dyDescent="0.3">
      <c r="A38" s="270"/>
      <c r="B38" s="268"/>
      <c r="C38" s="80" t="s">
        <v>177</v>
      </c>
      <c r="D38" s="148">
        <f>D43</f>
        <v>0</v>
      </c>
      <c r="E38" s="148">
        <f t="shared" si="5"/>
        <v>0</v>
      </c>
      <c r="F38" s="148">
        <f t="shared" si="5"/>
        <v>0</v>
      </c>
      <c r="G38" s="148">
        <f t="shared" si="5"/>
        <v>0</v>
      </c>
      <c r="H38" s="148">
        <f t="shared" si="5"/>
        <v>0</v>
      </c>
      <c r="I38" s="148">
        <f t="shared" si="6"/>
        <v>0</v>
      </c>
      <c r="J38" s="148">
        <f t="shared" si="6"/>
        <v>0</v>
      </c>
      <c r="K38" s="81"/>
      <c r="L38" s="73"/>
    </row>
    <row r="39" spans="1:12" ht="21" customHeight="1" x14ac:dyDescent="0.3">
      <c r="A39" s="270" t="s">
        <v>47</v>
      </c>
      <c r="B39" s="277" t="s">
        <v>48</v>
      </c>
      <c r="C39" s="83" t="s">
        <v>173</v>
      </c>
      <c r="D39" s="149">
        <f t="shared" ref="D39:J39" si="7">D40+D41+D42+D43</f>
        <v>109010.79</v>
      </c>
      <c r="E39" s="149">
        <f t="shared" si="7"/>
        <v>118077.62</v>
      </c>
      <c r="F39" s="149">
        <f t="shared" si="7"/>
        <v>130212.7966899999</v>
      </c>
      <c r="G39" s="149">
        <f t="shared" si="7"/>
        <v>129989.64318</v>
      </c>
      <c r="H39" s="149">
        <f t="shared" si="7"/>
        <v>144266.80209000001</v>
      </c>
      <c r="I39" s="149">
        <f t="shared" si="7"/>
        <v>147995.7703</v>
      </c>
      <c r="J39" s="149">
        <f t="shared" si="7"/>
        <v>779553.4222599999</v>
      </c>
      <c r="K39" s="84"/>
      <c r="L39" s="73"/>
    </row>
    <row r="40" spans="1:12" ht="36" customHeight="1" x14ac:dyDescent="0.3">
      <c r="A40" s="270"/>
      <c r="B40" s="277"/>
      <c r="C40" s="85" t="s">
        <v>174</v>
      </c>
      <c r="D40" s="149">
        <v>0</v>
      </c>
      <c r="E40" s="149">
        <v>0</v>
      </c>
      <c r="F40" s="150">
        <v>0</v>
      </c>
      <c r="G40" s="150">
        <v>0</v>
      </c>
      <c r="H40" s="150">
        <v>0</v>
      </c>
      <c r="I40" s="150">
        <v>0</v>
      </c>
      <c r="J40" s="150">
        <f>SUM(D40:I40)</f>
        <v>0</v>
      </c>
      <c r="K40" s="84"/>
      <c r="L40" s="73"/>
    </row>
    <row r="41" spans="1:12" ht="33.75" customHeight="1" x14ac:dyDescent="0.3">
      <c r="A41" s="270"/>
      <c r="B41" s="277"/>
      <c r="C41" s="85" t="s">
        <v>175</v>
      </c>
      <c r="D41" s="149">
        <v>66503.23</v>
      </c>
      <c r="E41" s="149">
        <f>77609.87-4226.18+2210.18</f>
        <v>75593.87</v>
      </c>
      <c r="F41" s="149">
        <f>81227.204+3863.214</f>
        <v>85090.418000000005</v>
      </c>
      <c r="G41" s="149">
        <f>89489.244-12133.27</f>
        <v>77355.974000000002</v>
      </c>
      <c r="H41" s="149">
        <v>95578.74</v>
      </c>
      <c r="I41" s="149">
        <v>101331.11500000001</v>
      </c>
      <c r="J41" s="149">
        <f>SUM(D41:I41)</f>
        <v>501453.34699999995</v>
      </c>
      <c r="K41" s="84"/>
      <c r="L41" s="73"/>
    </row>
    <row r="42" spans="1:12" ht="39" customHeight="1" x14ac:dyDescent="0.3">
      <c r="A42" s="270"/>
      <c r="B42" s="277"/>
      <c r="C42" s="83" t="s">
        <v>176</v>
      </c>
      <c r="D42" s="149">
        <v>42507.56</v>
      </c>
      <c r="E42" s="149">
        <f>36848.59+3800.31+637.82-168+394.8+710+260.23</f>
        <v>42483.75</v>
      </c>
      <c r="F42" s="150">
        <f>43502.8479999999+230+74+252.776+859.477+84.22369+100+19.054</f>
        <v>45122.378689999896</v>
      </c>
      <c r="G42" s="150">
        <f>48919.6853+3522.88-390+581.10388</f>
        <v>52633.669179999997</v>
      </c>
      <c r="H42" s="150">
        <f>49165.0013-476.93921</f>
        <v>48688.062090000007</v>
      </c>
      <c r="I42" s="150">
        <v>46664.655299999999</v>
      </c>
      <c r="J42" s="150">
        <f>SUM(D42:I42)</f>
        <v>278100.0752599999</v>
      </c>
      <c r="K42" s="84"/>
      <c r="L42" s="73"/>
    </row>
    <row r="43" spans="1:12" ht="18.75" customHeight="1" x14ac:dyDescent="0.3">
      <c r="A43" s="270"/>
      <c r="B43" s="277"/>
      <c r="C43" s="83" t="s">
        <v>177</v>
      </c>
      <c r="D43" s="149">
        <v>0</v>
      </c>
      <c r="E43" s="149">
        <v>0</v>
      </c>
      <c r="F43" s="150">
        <v>0</v>
      </c>
      <c r="G43" s="150">
        <v>0</v>
      </c>
      <c r="H43" s="150">
        <v>0</v>
      </c>
      <c r="I43" s="150">
        <v>0</v>
      </c>
      <c r="J43" s="150">
        <f>SUM(D43:I43)</f>
        <v>0</v>
      </c>
      <c r="K43" s="84"/>
      <c r="L43" s="73"/>
    </row>
    <row r="44" spans="1:12" ht="24.75" customHeight="1" x14ac:dyDescent="0.3">
      <c r="A44" s="270" t="s">
        <v>7</v>
      </c>
      <c r="B44" s="268" t="s">
        <v>51</v>
      </c>
      <c r="C44" s="80" t="s">
        <v>173</v>
      </c>
      <c r="D44" s="148">
        <f t="shared" ref="D44:F44" si="8">D49+D54+D59+D64+D69+D74+D79+D84+D89</f>
        <v>1182.6299999999999</v>
      </c>
      <c r="E44" s="148">
        <f t="shared" si="8"/>
        <v>1498.4299999999998</v>
      </c>
      <c r="F44" s="148">
        <f t="shared" si="8"/>
        <v>9563.7125500000002</v>
      </c>
      <c r="G44" s="148">
        <f>G49+G54+G59+G64+G69+G74+G79+G84+G89+G94</f>
        <v>9480.2730200000005</v>
      </c>
      <c r="H44" s="148">
        <f t="shared" ref="H44:J44" si="9">H49+H54+H59+H64+H69+H74+H79+H84+H89+H94</f>
        <v>734.93921</v>
      </c>
      <c r="I44" s="148">
        <f t="shared" si="9"/>
        <v>258</v>
      </c>
      <c r="J44" s="148">
        <f t="shared" si="9"/>
        <v>22717.984779999999</v>
      </c>
      <c r="K44" s="81"/>
      <c r="L44" s="73"/>
    </row>
    <row r="45" spans="1:12" ht="22.5" customHeight="1" x14ac:dyDescent="0.3">
      <c r="A45" s="270"/>
      <c r="B45" s="268"/>
      <c r="C45" s="82" t="s">
        <v>174</v>
      </c>
      <c r="D45" s="148">
        <f>D50+D55+D60+D65+D70+D75+D80+D85+D90</f>
        <v>0</v>
      </c>
      <c r="E45" s="148">
        <f t="shared" ref="E45:F47" si="10">E50+E55+E60+E65+E70+E75+E80+E85+E90</f>
        <v>0</v>
      </c>
      <c r="F45" s="148">
        <f t="shared" si="10"/>
        <v>0</v>
      </c>
      <c r="G45" s="148">
        <f>G50+G55+G60+G65+G70+G75+G80+G85+G90+G91</f>
        <v>0</v>
      </c>
      <c r="H45" s="148">
        <f t="shared" ref="H45:J45" si="11">H50+H55+H60+H65+H70+H75+H80+H85+H90+H91</f>
        <v>0</v>
      </c>
      <c r="I45" s="148">
        <f t="shared" si="11"/>
        <v>0</v>
      </c>
      <c r="J45" s="148">
        <f t="shared" si="11"/>
        <v>0</v>
      </c>
      <c r="K45" s="81"/>
      <c r="L45" s="73"/>
    </row>
    <row r="46" spans="1:12" ht="24" customHeight="1" x14ac:dyDescent="0.3">
      <c r="A46" s="270"/>
      <c r="B46" s="268"/>
      <c r="C46" s="82" t="s">
        <v>175</v>
      </c>
      <c r="D46" s="148">
        <f>D51+D56+D61+D66+D71+D76+D81+D86+D91</f>
        <v>0</v>
      </c>
      <c r="E46" s="148">
        <f t="shared" si="10"/>
        <v>394.75</v>
      </c>
      <c r="F46" s="148">
        <f t="shared" si="10"/>
        <v>0</v>
      </c>
      <c r="G46" s="148">
        <f>G51+G56+G61+G66+G71+G76+G81+G86+G91+G96</f>
        <v>2112.54565</v>
      </c>
      <c r="H46" s="148">
        <f t="shared" ref="H46:J46" si="12">H51+H56+H61+H66+H71+H76+H81+H86+H91+H96</f>
        <v>0</v>
      </c>
      <c r="I46" s="148">
        <f t="shared" si="12"/>
        <v>0</v>
      </c>
      <c r="J46" s="148">
        <f t="shared" si="12"/>
        <v>2507.29565</v>
      </c>
      <c r="K46" s="81"/>
      <c r="L46" s="73"/>
    </row>
    <row r="47" spans="1:12" ht="24.75" customHeight="1" x14ac:dyDescent="0.3">
      <c r="A47" s="270"/>
      <c r="B47" s="268"/>
      <c r="C47" s="80" t="s">
        <v>176</v>
      </c>
      <c r="D47" s="148">
        <f>D52+D57+D62+D67+D72+D77+D82+D87+D92</f>
        <v>1182.6299999999999</v>
      </c>
      <c r="E47" s="148">
        <f>E52+E57+E62+E67+E72+E77+E82+E87+E92</f>
        <v>1103.6799999999998</v>
      </c>
      <c r="F47" s="148">
        <f t="shared" si="10"/>
        <v>9563.7125500000002</v>
      </c>
      <c r="G47" s="148">
        <f>G52+G57+G62+G67+G72+G77+G82+G87+G92+G97</f>
        <v>7367.7273699999996</v>
      </c>
      <c r="H47" s="148">
        <f t="shared" ref="H47:J47" si="13">H52+H57+H62+H67+H72+H77+H82+H87+H92+H97</f>
        <v>734.93921</v>
      </c>
      <c r="I47" s="148">
        <f t="shared" si="13"/>
        <v>258</v>
      </c>
      <c r="J47" s="148">
        <f t="shared" si="13"/>
        <v>20210.689129999999</v>
      </c>
      <c r="K47" s="81"/>
      <c r="L47" s="73"/>
    </row>
    <row r="48" spans="1:12" ht="18" customHeight="1" x14ac:dyDescent="0.3">
      <c r="A48" s="270"/>
      <c r="B48" s="268"/>
      <c r="C48" s="80" t="s">
        <v>177</v>
      </c>
      <c r="D48" s="148">
        <f>D53+D58+D63+D68+D73+D78+D83+D88+D93</f>
        <v>0</v>
      </c>
      <c r="E48" s="148">
        <f>E53+E58+E63+E68+E73+E78+E83+E88+E93</f>
        <v>0</v>
      </c>
      <c r="F48" s="148">
        <f>F53+F58+F63+F68+F73+F78+F83+F88+F93</f>
        <v>0</v>
      </c>
      <c r="G48" s="148">
        <f>G53+G58+G63+G68+G73+G78+G83+G88+G93++G98</f>
        <v>0</v>
      </c>
      <c r="H48" s="148">
        <f t="shared" ref="H48:J48" si="14">H53+H58+H63+H68+H73+H78+H83+H88+H93++H98</f>
        <v>0</v>
      </c>
      <c r="I48" s="148">
        <f t="shared" si="14"/>
        <v>0</v>
      </c>
      <c r="J48" s="148">
        <f t="shared" si="14"/>
        <v>0</v>
      </c>
      <c r="K48" s="81"/>
      <c r="L48" s="73"/>
    </row>
    <row r="49" spans="1:12" ht="18.75" customHeight="1" x14ac:dyDescent="0.3">
      <c r="A49" s="270" t="s">
        <v>52</v>
      </c>
      <c r="B49" s="277" t="s">
        <v>53</v>
      </c>
      <c r="C49" s="83" t="s">
        <v>173</v>
      </c>
      <c r="D49" s="149">
        <f t="shared" ref="D49:J49" si="15">D50+D51+D52+D53</f>
        <v>0</v>
      </c>
      <c r="E49" s="149">
        <f t="shared" si="15"/>
        <v>406.96</v>
      </c>
      <c r="F49" s="149">
        <f t="shared" si="15"/>
        <v>0</v>
      </c>
      <c r="G49" s="149">
        <f t="shared" si="15"/>
        <v>0</v>
      </c>
      <c r="H49" s="149">
        <f t="shared" si="15"/>
        <v>476.93921</v>
      </c>
      <c r="I49" s="149">
        <f t="shared" si="15"/>
        <v>0</v>
      </c>
      <c r="J49" s="149">
        <f t="shared" si="15"/>
        <v>883.89921000000004</v>
      </c>
      <c r="K49" s="84"/>
      <c r="L49" s="73"/>
    </row>
    <row r="50" spans="1:12" ht="24" customHeight="1" x14ac:dyDescent="0.3">
      <c r="A50" s="270"/>
      <c r="B50" s="277"/>
      <c r="C50" s="85" t="s">
        <v>174</v>
      </c>
      <c r="D50" s="149">
        <v>0</v>
      </c>
      <c r="E50" s="149">
        <v>0</v>
      </c>
      <c r="F50" s="150">
        <v>0</v>
      </c>
      <c r="G50" s="150">
        <v>0</v>
      </c>
      <c r="H50" s="150">
        <v>0</v>
      </c>
      <c r="I50" s="150">
        <v>0</v>
      </c>
      <c r="J50" s="150">
        <f>SUM(D50:I50)</f>
        <v>0</v>
      </c>
      <c r="K50" s="84"/>
      <c r="L50" s="73"/>
    </row>
    <row r="51" spans="1:12" ht="22.5" customHeight="1" x14ac:dyDescent="0.3">
      <c r="A51" s="270"/>
      <c r="B51" s="277"/>
      <c r="C51" s="85" t="s">
        <v>175</v>
      </c>
      <c r="D51" s="149">
        <v>0</v>
      </c>
      <c r="E51" s="149">
        <f>399-4.25</f>
        <v>394.75</v>
      </c>
      <c r="F51" s="150">
        <v>0</v>
      </c>
      <c r="G51" s="150">
        <v>0</v>
      </c>
      <c r="H51" s="150">
        <v>0</v>
      </c>
      <c r="I51" s="150">
        <v>0</v>
      </c>
      <c r="J51" s="150">
        <f>SUM(D51:I51)</f>
        <v>394.75</v>
      </c>
      <c r="K51" s="84"/>
      <c r="L51" s="73"/>
    </row>
    <row r="52" spans="1:12" ht="15.6" x14ac:dyDescent="0.3">
      <c r="A52" s="270"/>
      <c r="B52" s="277"/>
      <c r="C52" s="83" t="s">
        <v>176</v>
      </c>
      <c r="D52" s="149">
        <v>0</v>
      </c>
      <c r="E52" s="149">
        <f>97.2-84.86-0.13</f>
        <v>12.210000000000003</v>
      </c>
      <c r="F52" s="151">
        <f>0</f>
        <v>0</v>
      </c>
      <c r="G52" s="151">
        <v>0</v>
      </c>
      <c r="H52" s="151">
        <f>0+476.93921</f>
        <v>476.93921</v>
      </c>
      <c r="I52" s="151">
        <v>0</v>
      </c>
      <c r="J52" s="151">
        <f>SUM(D52:I52)</f>
        <v>489.14920999999998</v>
      </c>
      <c r="K52" s="84"/>
      <c r="L52" s="73"/>
    </row>
    <row r="53" spans="1:12" ht="18" customHeight="1" x14ac:dyDescent="0.3">
      <c r="A53" s="270"/>
      <c r="B53" s="277"/>
      <c r="C53" s="83" t="s">
        <v>177</v>
      </c>
      <c r="D53" s="149">
        <v>0</v>
      </c>
      <c r="E53" s="149">
        <v>0</v>
      </c>
      <c r="F53" s="151">
        <v>0</v>
      </c>
      <c r="G53" s="151">
        <v>0</v>
      </c>
      <c r="H53" s="151">
        <v>0</v>
      </c>
      <c r="I53" s="151">
        <v>0</v>
      </c>
      <c r="J53" s="151">
        <f>SUM(D53:I53)</f>
        <v>0</v>
      </c>
      <c r="K53" s="84"/>
      <c r="L53" s="73"/>
    </row>
    <row r="54" spans="1:12" ht="22.5" customHeight="1" x14ac:dyDescent="0.3">
      <c r="A54" s="270" t="s">
        <v>55</v>
      </c>
      <c r="B54" s="277" t="s">
        <v>56</v>
      </c>
      <c r="C54" s="83" t="s">
        <v>173</v>
      </c>
      <c r="D54" s="149">
        <f t="shared" ref="D54:J54" si="16">D55+D56+D57+D58</f>
        <v>899.82999999999993</v>
      </c>
      <c r="E54" s="149">
        <f t="shared" si="16"/>
        <v>0</v>
      </c>
      <c r="F54" s="149">
        <f t="shared" si="16"/>
        <v>0</v>
      </c>
      <c r="G54" s="149">
        <f t="shared" si="16"/>
        <v>0</v>
      </c>
      <c r="H54" s="149">
        <f t="shared" si="16"/>
        <v>0</v>
      </c>
      <c r="I54" s="149">
        <f t="shared" si="16"/>
        <v>0</v>
      </c>
      <c r="J54" s="149">
        <f t="shared" si="16"/>
        <v>899.82999999999993</v>
      </c>
      <c r="K54" s="84"/>
      <c r="L54" s="73"/>
    </row>
    <row r="55" spans="1:12" ht="18.75" customHeight="1" x14ac:dyDescent="0.3">
      <c r="A55" s="270"/>
      <c r="B55" s="277"/>
      <c r="C55" s="85" t="s">
        <v>174</v>
      </c>
      <c r="D55" s="149">
        <v>0</v>
      </c>
      <c r="E55" s="149">
        <v>0</v>
      </c>
      <c r="F55" s="151">
        <v>0</v>
      </c>
      <c r="G55" s="151">
        <v>0</v>
      </c>
      <c r="H55" s="151">
        <v>0</v>
      </c>
      <c r="I55" s="151">
        <v>0</v>
      </c>
      <c r="J55" s="151">
        <f>SUM(D55:I55)</f>
        <v>0</v>
      </c>
      <c r="K55" s="84"/>
      <c r="L55" s="73"/>
    </row>
    <row r="56" spans="1:12" ht="18.75" customHeight="1" x14ac:dyDescent="0.3">
      <c r="A56" s="270"/>
      <c r="B56" s="277"/>
      <c r="C56" s="85" t="s">
        <v>175</v>
      </c>
      <c r="D56" s="149">
        <v>0</v>
      </c>
      <c r="E56" s="149">
        <v>0</v>
      </c>
      <c r="F56" s="151">
        <v>0</v>
      </c>
      <c r="G56" s="151">
        <v>0</v>
      </c>
      <c r="H56" s="151">
        <v>0</v>
      </c>
      <c r="I56" s="151">
        <v>0</v>
      </c>
      <c r="J56" s="151">
        <f>SUM(D56:I56)</f>
        <v>0</v>
      </c>
      <c r="K56" s="84"/>
      <c r="L56" s="73"/>
    </row>
    <row r="57" spans="1:12" ht="15.6" x14ac:dyDescent="0.3">
      <c r="A57" s="270"/>
      <c r="B57" s="277"/>
      <c r="C57" s="83" t="s">
        <v>176</v>
      </c>
      <c r="D57" s="149">
        <f>497.5+899.83+50-547.5</f>
        <v>899.82999999999993</v>
      </c>
      <c r="E57" s="149">
        <f>1604-1604</f>
        <v>0</v>
      </c>
      <c r="F57" s="151">
        <v>0</v>
      </c>
      <c r="G57" s="151">
        <v>0</v>
      </c>
      <c r="H57" s="151">
        <v>0</v>
      </c>
      <c r="I57" s="151">
        <v>0</v>
      </c>
      <c r="J57" s="151">
        <f>SUM(D57:I57)</f>
        <v>899.82999999999993</v>
      </c>
      <c r="K57" s="84"/>
      <c r="L57" s="73"/>
    </row>
    <row r="58" spans="1:12" ht="27" customHeight="1" x14ac:dyDescent="0.3">
      <c r="A58" s="270"/>
      <c r="B58" s="277"/>
      <c r="C58" s="83" t="s">
        <v>177</v>
      </c>
      <c r="D58" s="149">
        <v>0</v>
      </c>
      <c r="E58" s="149">
        <v>0</v>
      </c>
      <c r="F58" s="151">
        <v>0</v>
      </c>
      <c r="G58" s="151">
        <v>0</v>
      </c>
      <c r="H58" s="151">
        <v>0</v>
      </c>
      <c r="I58" s="151">
        <v>0</v>
      </c>
      <c r="J58" s="151">
        <f>SUM(D58:I58)</f>
        <v>0</v>
      </c>
      <c r="K58" s="84"/>
      <c r="L58" s="73"/>
    </row>
    <row r="59" spans="1:12" ht="25.5" customHeight="1" x14ac:dyDescent="0.3">
      <c r="A59" s="270" t="s">
        <v>59</v>
      </c>
      <c r="B59" s="277" t="s">
        <v>60</v>
      </c>
      <c r="C59" s="83" t="s">
        <v>173</v>
      </c>
      <c r="D59" s="149">
        <f t="shared" ref="D59:J59" si="17">D60+D61+D62+D63</f>
        <v>0</v>
      </c>
      <c r="E59" s="149">
        <f t="shared" si="17"/>
        <v>0</v>
      </c>
      <c r="F59" s="149">
        <f t="shared" si="17"/>
        <v>0</v>
      </c>
      <c r="G59" s="149">
        <f t="shared" si="17"/>
        <v>0</v>
      </c>
      <c r="H59" s="149">
        <f t="shared" si="17"/>
        <v>0</v>
      </c>
      <c r="I59" s="149">
        <f t="shared" si="17"/>
        <v>0</v>
      </c>
      <c r="J59" s="149">
        <f t="shared" si="17"/>
        <v>0</v>
      </c>
      <c r="K59" s="84"/>
      <c r="L59" s="73"/>
    </row>
    <row r="60" spans="1:12" ht="24.75" customHeight="1" x14ac:dyDescent="0.3">
      <c r="A60" s="270"/>
      <c r="B60" s="277"/>
      <c r="C60" s="85" t="s">
        <v>174</v>
      </c>
      <c r="D60" s="149">
        <v>0</v>
      </c>
      <c r="E60" s="149">
        <v>0</v>
      </c>
      <c r="F60" s="151">
        <v>0</v>
      </c>
      <c r="G60" s="151">
        <v>0</v>
      </c>
      <c r="H60" s="151">
        <v>0</v>
      </c>
      <c r="I60" s="151">
        <v>0</v>
      </c>
      <c r="J60" s="151">
        <f>SUM(D60:I60)</f>
        <v>0</v>
      </c>
      <c r="K60" s="84"/>
      <c r="L60" s="73"/>
    </row>
    <row r="61" spans="1:12" ht="26.25" customHeight="1" x14ac:dyDescent="0.3">
      <c r="A61" s="270"/>
      <c r="B61" s="277"/>
      <c r="C61" s="85" t="s">
        <v>175</v>
      </c>
      <c r="D61" s="149">
        <v>0</v>
      </c>
      <c r="E61" s="149">
        <v>0</v>
      </c>
      <c r="F61" s="151">
        <v>0</v>
      </c>
      <c r="G61" s="151">
        <v>0</v>
      </c>
      <c r="H61" s="151">
        <v>0</v>
      </c>
      <c r="I61" s="151">
        <v>0</v>
      </c>
      <c r="J61" s="151">
        <f>SUM(D61:I61)</f>
        <v>0</v>
      </c>
      <c r="K61" s="84"/>
      <c r="L61" s="73"/>
    </row>
    <row r="62" spans="1:12" ht="18.75" customHeight="1" x14ac:dyDescent="0.3">
      <c r="A62" s="270"/>
      <c r="B62" s="277"/>
      <c r="C62" s="83" t="s">
        <v>176</v>
      </c>
      <c r="D62" s="149">
        <v>0</v>
      </c>
      <c r="E62" s="149">
        <v>0</v>
      </c>
      <c r="F62" s="151">
        <v>0</v>
      </c>
      <c r="G62" s="151">
        <v>0</v>
      </c>
      <c r="H62" s="151">
        <v>0</v>
      </c>
      <c r="I62" s="151">
        <v>0</v>
      </c>
      <c r="J62" s="151">
        <f>SUM(D62:I62)</f>
        <v>0</v>
      </c>
      <c r="K62" s="84"/>
      <c r="L62" s="73"/>
    </row>
    <row r="63" spans="1:12" ht="21.75" customHeight="1" x14ac:dyDescent="0.3">
      <c r="A63" s="270"/>
      <c r="B63" s="277"/>
      <c r="C63" s="83" t="s">
        <v>177</v>
      </c>
      <c r="D63" s="149">
        <v>0</v>
      </c>
      <c r="E63" s="149">
        <v>0</v>
      </c>
      <c r="F63" s="151">
        <v>0</v>
      </c>
      <c r="G63" s="151">
        <v>0</v>
      </c>
      <c r="H63" s="151">
        <v>0</v>
      </c>
      <c r="I63" s="151">
        <v>0</v>
      </c>
      <c r="J63" s="151">
        <f>SUM(D63:I63)</f>
        <v>0</v>
      </c>
      <c r="K63" s="84"/>
      <c r="L63" s="73"/>
    </row>
    <row r="64" spans="1:12" ht="21" customHeight="1" x14ac:dyDescent="0.3">
      <c r="A64" s="278" t="s">
        <v>62</v>
      </c>
      <c r="B64" s="280" t="s">
        <v>63</v>
      </c>
      <c r="C64" s="83" t="s">
        <v>173</v>
      </c>
      <c r="D64" s="149">
        <f t="shared" ref="D64:J64" si="18">D65+D66+D67+D68</f>
        <v>100</v>
      </c>
      <c r="E64" s="149">
        <f t="shared" si="18"/>
        <v>97.5</v>
      </c>
      <c r="F64" s="149">
        <f t="shared" si="18"/>
        <v>0</v>
      </c>
      <c r="G64" s="149">
        <f t="shared" si="18"/>
        <v>0</v>
      </c>
      <c r="H64" s="149">
        <f t="shared" si="18"/>
        <v>100</v>
      </c>
      <c r="I64" s="149">
        <f t="shared" si="18"/>
        <v>100</v>
      </c>
      <c r="J64" s="149">
        <f t="shared" si="18"/>
        <v>397.5</v>
      </c>
      <c r="K64" s="84"/>
      <c r="L64" s="73"/>
    </row>
    <row r="65" spans="1:12" ht="31.2" x14ac:dyDescent="0.3">
      <c r="A65" s="278"/>
      <c r="B65" s="280"/>
      <c r="C65" s="85" t="s">
        <v>174</v>
      </c>
      <c r="D65" s="149">
        <v>0</v>
      </c>
      <c r="E65" s="149">
        <v>0</v>
      </c>
      <c r="F65" s="151">
        <v>0</v>
      </c>
      <c r="G65" s="151">
        <v>0</v>
      </c>
      <c r="H65" s="151">
        <v>0</v>
      </c>
      <c r="I65" s="151">
        <v>0</v>
      </c>
      <c r="J65" s="151">
        <f>SUM(D65:I65)</f>
        <v>0</v>
      </c>
      <c r="K65" s="84"/>
      <c r="L65" s="73"/>
    </row>
    <row r="66" spans="1:12" ht="31.2" x14ac:dyDescent="0.3">
      <c r="A66" s="278"/>
      <c r="B66" s="280"/>
      <c r="C66" s="85" t="s">
        <v>175</v>
      </c>
      <c r="D66" s="149">
        <v>0</v>
      </c>
      <c r="E66" s="149">
        <v>0</v>
      </c>
      <c r="F66" s="151">
        <v>0</v>
      </c>
      <c r="G66" s="151">
        <v>0</v>
      </c>
      <c r="H66" s="151">
        <v>0</v>
      </c>
      <c r="I66" s="151">
        <v>0</v>
      </c>
      <c r="J66" s="151">
        <f>SUM(D66:I66)</f>
        <v>0</v>
      </c>
      <c r="K66" s="84"/>
      <c r="L66" s="73"/>
    </row>
    <row r="67" spans="1:12" ht="15.6" x14ac:dyDescent="0.3">
      <c r="A67" s="278"/>
      <c r="B67" s="280"/>
      <c r="C67" s="83" t="s">
        <v>176</v>
      </c>
      <c r="D67" s="149">
        <v>100</v>
      </c>
      <c r="E67" s="149">
        <v>97.5</v>
      </c>
      <c r="F67" s="151">
        <f>97.5-97.5</f>
        <v>0</v>
      </c>
      <c r="G67" s="151">
        <f>100-100</f>
        <v>0</v>
      </c>
      <c r="H67" s="151">
        <v>100</v>
      </c>
      <c r="I67" s="151">
        <v>100</v>
      </c>
      <c r="J67" s="151">
        <f>SUM(D67:I67)</f>
        <v>397.5</v>
      </c>
      <c r="K67" s="84"/>
      <c r="L67" s="73"/>
    </row>
    <row r="68" spans="1:12" ht="15.6" x14ac:dyDescent="0.3">
      <c r="A68" s="279"/>
      <c r="B68" s="281"/>
      <c r="C68" s="83" t="s">
        <v>177</v>
      </c>
      <c r="D68" s="149">
        <v>0</v>
      </c>
      <c r="E68" s="149">
        <v>0</v>
      </c>
      <c r="F68" s="151">
        <v>0</v>
      </c>
      <c r="G68" s="151">
        <v>0</v>
      </c>
      <c r="H68" s="151">
        <v>0</v>
      </c>
      <c r="I68" s="151">
        <v>0</v>
      </c>
      <c r="J68" s="151">
        <f>SUM(D68:I68)</f>
        <v>0</v>
      </c>
      <c r="K68" s="84"/>
      <c r="L68" s="73"/>
    </row>
    <row r="69" spans="1:12" ht="23.25" customHeight="1" x14ac:dyDescent="0.3">
      <c r="A69" s="282" t="s">
        <v>64</v>
      </c>
      <c r="B69" s="283" t="s">
        <v>65</v>
      </c>
      <c r="C69" s="83" t="s">
        <v>173</v>
      </c>
      <c r="D69" s="149">
        <f t="shared" ref="D69:J69" si="19">D70+D71+D72+D73</f>
        <v>140.6</v>
      </c>
      <c r="E69" s="149">
        <f t="shared" si="19"/>
        <v>125.6</v>
      </c>
      <c r="F69" s="149">
        <f t="shared" si="19"/>
        <v>6000</v>
      </c>
      <c r="G69" s="149">
        <f t="shared" si="19"/>
        <v>5390</v>
      </c>
      <c r="H69" s="149">
        <f t="shared" si="19"/>
        <v>0</v>
      </c>
      <c r="I69" s="149">
        <f t="shared" si="19"/>
        <v>0</v>
      </c>
      <c r="J69" s="149">
        <f t="shared" si="19"/>
        <v>11656.2</v>
      </c>
      <c r="K69" s="84"/>
      <c r="L69" s="73"/>
    </row>
    <row r="70" spans="1:12" ht="31.2" x14ac:dyDescent="0.3">
      <c r="A70" s="278"/>
      <c r="B70" s="280"/>
      <c r="C70" s="85" t="s">
        <v>174</v>
      </c>
      <c r="D70" s="149">
        <v>0</v>
      </c>
      <c r="E70" s="149">
        <v>0</v>
      </c>
      <c r="F70" s="151">
        <v>0</v>
      </c>
      <c r="G70" s="151">
        <v>0</v>
      </c>
      <c r="H70" s="151">
        <v>0</v>
      </c>
      <c r="I70" s="151">
        <v>0</v>
      </c>
      <c r="J70" s="151">
        <f>SUM(D70:I70)</f>
        <v>0</v>
      </c>
      <c r="K70" s="84"/>
      <c r="L70" s="73"/>
    </row>
    <row r="71" spans="1:12" ht="31.2" x14ac:dyDescent="0.3">
      <c r="A71" s="278"/>
      <c r="B71" s="280"/>
      <c r="C71" s="85" t="s">
        <v>175</v>
      </c>
      <c r="D71" s="149">
        <v>0</v>
      </c>
      <c r="E71" s="149">
        <v>0</v>
      </c>
      <c r="F71" s="151">
        <v>0</v>
      </c>
      <c r="G71" s="151">
        <v>0</v>
      </c>
      <c r="H71" s="151">
        <v>0</v>
      </c>
      <c r="I71" s="151">
        <v>0</v>
      </c>
      <c r="J71" s="151">
        <f>SUM(D71:I71)</f>
        <v>0</v>
      </c>
      <c r="K71" s="84"/>
      <c r="L71" s="73"/>
    </row>
    <row r="72" spans="1:12" ht="15.6" x14ac:dyDescent="0.3">
      <c r="A72" s="278"/>
      <c r="B72" s="280"/>
      <c r="C72" s="83" t="s">
        <v>176</v>
      </c>
      <c r="D72" s="149">
        <v>140.6</v>
      </c>
      <c r="E72" s="149">
        <f>100+26-0.4</f>
        <v>125.6</v>
      </c>
      <c r="F72" s="151">
        <f>400-400+6000</f>
        <v>6000</v>
      </c>
      <c r="G72" s="151">
        <f>390+5000</f>
        <v>5390</v>
      </c>
      <c r="H72" s="151">
        <v>0</v>
      </c>
      <c r="I72" s="151">
        <v>0</v>
      </c>
      <c r="J72" s="151">
        <f>SUM(D72:I72)</f>
        <v>11656.2</v>
      </c>
      <c r="K72" s="84"/>
      <c r="L72" s="73"/>
    </row>
    <row r="73" spans="1:12" ht="15.6" x14ac:dyDescent="0.3">
      <c r="A73" s="279"/>
      <c r="B73" s="281"/>
      <c r="C73" s="83" t="s">
        <v>177</v>
      </c>
      <c r="D73" s="149">
        <v>0</v>
      </c>
      <c r="E73" s="149">
        <v>0</v>
      </c>
      <c r="F73" s="151">
        <v>0</v>
      </c>
      <c r="G73" s="151">
        <v>0</v>
      </c>
      <c r="H73" s="151">
        <v>0</v>
      </c>
      <c r="I73" s="151">
        <v>0</v>
      </c>
      <c r="J73" s="151">
        <f>SUM(D73:I73)</f>
        <v>0</v>
      </c>
      <c r="K73" s="84"/>
      <c r="L73" s="73"/>
    </row>
    <row r="74" spans="1:12" ht="22.5" customHeight="1" x14ac:dyDescent="0.3">
      <c r="A74" s="282" t="s">
        <v>67</v>
      </c>
      <c r="B74" s="283" t="s">
        <v>68</v>
      </c>
      <c r="C74" s="83" t="s">
        <v>173</v>
      </c>
      <c r="D74" s="149">
        <f t="shared" ref="D74:J74" si="20">D75+D76+D77+D78</f>
        <v>0</v>
      </c>
      <c r="E74" s="149">
        <f t="shared" si="20"/>
        <v>0</v>
      </c>
      <c r="F74" s="149">
        <f t="shared" si="20"/>
        <v>0</v>
      </c>
      <c r="G74" s="149">
        <f t="shared" si="20"/>
        <v>0</v>
      </c>
      <c r="H74" s="149">
        <f t="shared" si="20"/>
        <v>0</v>
      </c>
      <c r="I74" s="149">
        <f t="shared" si="20"/>
        <v>0</v>
      </c>
      <c r="J74" s="149">
        <f t="shared" si="20"/>
        <v>0</v>
      </c>
      <c r="K74" s="84"/>
      <c r="L74" s="73"/>
    </row>
    <row r="75" spans="1:12" ht="31.2" x14ac:dyDescent="0.3">
      <c r="A75" s="278"/>
      <c r="B75" s="280"/>
      <c r="C75" s="85" t="s">
        <v>174</v>
      </c>
      <c r="D75" s="149">
        <v>0</v>
      </c>
      <c r="E75" s="149">
        <v>0</v>
      </c>
      <c r="F75" s="151">
        <v>0</v>
      </c>
      <c r="G75" s="151">
        <v>0</v>
      </c>
      <c r="H75" s="151">
        <v>0</v>
      </c>
      <c r="I75" s="151">
        <v>0</v>
      </c>
      <c r="J75" s="151">
        <f>SUM(D75:I75)</f>
        <v>0</v>
      </c>
      <c r="K75" s="84"/>
      <c r="L75" s="73"/>
    </row>
    <row r="76" spans="1:12" ht="31.2" x14ac:dyDescent="0.3">
      <c r="A76" s="278"/>
      <c r="B76" s="280"/>
      <c r="C76" s="85" t="s">
        <v>175</v>
      </c>
      <c r="D76" s="149">
        <v>0</v>
      </c>
      <c r="E76" s="149">
        <v>0</v>
      </c>
      <c r="F76" s="151">
        <v>0</v>
      </c>
      <c r="G76" s="151">
        <v>0</v>
      </c>
      <c r="H76" s="151">
        <v>0</v>
      </c>
      <c r="I76" s="151">
        <v>0</v>
      </c>
      <c r="J76" s="151">
        <f>SUM(D76:I76)</f>
        <v>0</v>
      </c>
      <c r="K76" s="84"/>
      <c r="L76" s="73"/>
    </row>
    <row r="77" spans="1:12" ht="15.6" x14ac:dyDescent="0.3">
      <c r="A77" s="278"/>
      <c r="B77" s="280"/>
      <c r="C77" s="83" t="s">
        <v>176</v>
      </c>
      <c r="D77" s="149">
        <v>0</v>
      </c>
      <c r="E77" s="149">
        <v>0</v>
      </c>
      <c r="F77" s="151">
        <v>0</v>
      </c>
      <c r="G77" s="151">
        <v>0</v>
      </c>
      <c r="H77" s="151">
        <v>0</v>
      </c>
      <c r="I77" s="151">
        <v>0</v>
      </c>
      <c r="J77" s="151">
        <f>SUM(D77:I77)</f>
        <v>0</v>
      </c>
      <c r="K77" s="84"/>
      <c r="L77" s="73"/>
    </row>
    <row r="78" spans="1:12" ht="15.6" x14ac:dyDescent="0.3">
      <c r="A78" s="279"/>
      <c r="B78" s="281"/>
      <c r="C78" s="83" t="s">
        <v>177</v>
      </c>
      <c r="D78" s="149">
        <v>0</v>
      </c>
      <c r="E78" s="149">
        <v>0</v>
      </c>
      <c r="F78" s="151">
        <v>0</v>
      </c>
      <c r="G78" s="151">
        <v>0</v>
      </c>
      <c r="H78" s="151">
        <v>0</v>
      </c>
      <c r="I78" s="151">
        <v>0</v>
      </c>
      <c r="J78" s="151">
        <f>SUM(D78:I78)</f>
        <v>0</v>
      </c>
      <c r="K78" s="84"/>
      <c r="L78" s="73"/>
    </row>
    <row r="79" spans="1:12" ht="15.6" x14ac:dyDescent="0.3">
      <c r="A79" s="282" t="s">
        <v>70</v>
      </c>
      <c r="B79" s="283" t="s">
        <v>71</v>
      </c>
      <c r="C79" s="83" t="s">
        <v>173</v>
      </c>
      <c r="D79" s="149">
        <f t="shared" ref="D79:J79" si="21">D80+D81+D82+D83</f>
        <v>42.2</v>
      </c>
      <c r="E79" s="149">
        <f t="shared" si="21"/>
        <v>111.18</v>
      </c>
      <c r="F79" s="149">
        <f t="shared" si="21"/>
        <v>105.60636</v>
      </c>
      <c r="G79" s="149">
        <f t="shared" si="21"/>
        <v>158</v>
      </c>
      <c r="H79" s="149">
        <f t="shared" si="21"/>
        <v>158</v>
      </c>
      <c r="I79" s="149">
        <f t="shared" si="21"/>
        <v>158</v>
      </c>
      <c r="J79" s="149">
        <f t="shared" si="21"/>
        <v>732.98635999999999</v>
      </c>
      <c r="K79" s="84"/>
      <c r="L79" s="73"/>
    </row>
    <row r="80" spans="1:12" ht="31.2" x14ac:dyDescent="0.3">
      <c r="A80" s="278"/>
      <c r="B80" s="280"/>
      <c r="C80" s="85" t="s">
        <v>174</v>
      </c>
      <c r="D80" s="149">
        <v>0</v>
      </c>
      <c r="E80" s="149">
        <v>0</v>
      </c>
      <c r="F80" s="151">
        <v>0</v>
      </c>
      <c r="G80" s="151">
        <v>0</v>
      </c>
      <c r="H80" s="151">
        <v>0</v>
      </c>
      <c r="I80" s="151">
        <v>0</v>
      </c>
      <c r="J80" s="151">
        <f>SUM(D80:I80)</f>
        <v>0</v>
      </c>
      <c r="K80" s="84"/>
      <c r="L80" s="73"/>
    </row>
    <row r="81" spans="1:12" ht="31.2" x14ac:dyDescent="0.3">
      <c r="A81" s="278"/>
      <c r="B81" s="280"/>
      <c r="C81" s="85" t="s">
        <v>175</v>
      </c>
      <c r="D81" s="149">
        <v>0</v>
      </c>
      <c r="E81" s="149">
        <v>0</v>
      </c>
      <c r="F81" s="151">
        <v>0</v>
      </c>
      <c r="G81" s="151">
        <v>0</v>
      </c>
      <c r="H81" s="151">
        <v>0</v>
      </c>
      <c r="I81" s="151">
        <v>0</v>
      </c>
      <c r="J81" s="151">
        <f>SUM(D81:I81)</f>
        <v>0</v>
      </c>
      <c r="K81" s="84"/>
      <c r="L81" s="73"/>
    </row>
    <row r="82" spans="1:12" ht="15.6" x14ac:dyDescent="0.3">
      <c r="A82" s="278"/>
      <c r="B82" s="280"/>
      <c r="C82" s="83" t="s">
        <v>176</v>
      </c>
      <c r="D82" s="149">
        <v>42.2</v>
      </c>
      <c r="E82" s="149">
        <f>45+168-88.21-13.61</f>
        <v>111.18</v>
      </c>
      <c r="F82" s="151">
        <f>152-46.39364</f>
        <v>105.60636</v>
      </c>
      <c r="G82" s="151">
        <v>158</v>
      </c>
      <c r="H82" s="151">
        <v>158</v>
      </c>
      <c r="I82" s="151">
        <v>158</v>
      </c>
      <c r="J82" s="151">
        <f>SUM(D82:I82)</f>
        <v>732.98635999999999</v>
      </c>
      <c r="K82" s="84"/>
      <c r="L82" s="73"/>
    </row>
    <row r="83" spans="1:12" ht="15.6" x14ac:dyDescent="0.3">
      <c r="A83" s="279"/>
      <c r="B83" s="281"/>
      <c r="C83" s="83" t="s">
        <v>177</v>
      </c>
      <c r="D83" s="149">
        <v>0</v>
      </c>
      <c r="E83" s="149">
        <v>0</v>
      </c>
      <c r="F83" s="151">
        <v>0</v>
      </c>
      <c r="G83" s="151">
        <v>0</v>
      </c>
      <c r="H83" s="151">
        <v>0</v>
      </c>
      <c r="I83" s="151">
        <v>0</v>
      </c>
      <c r="J83" s="151">
        <f>SUM(D83:I83)</f>
        <v>0</v>
      </c>
      <c r="K83" s="84"/>
      <c r="L83" s="73"/>
    </row>
    <row r="84" spans="1:12" ht="21.75" customHeight="1" x14ac:dyDescent="0.3">
      <c r="A84" s="282" t="s">
        <v>73</v>
      </c>
      <c r="B84" s="283" t="s">
        <v>74</v>
      </c>
      <c r="C84" s="83" t="s">
        <v>173</v>
      </c>
      <c r="D84" s="149">
        <f t="shared" ref="D84:J84" si="22">D85+D86+D87+D88</f>
        <v>0</v>
      </c>
      <c r="E84" s="149">
        <f t="shared" si="22"/>
        <v>413.3</v>
      </c>
      <c r="F84" s="149">
        <f t="shared" si="22"/>
        <v>92.75</v>
      </c>
      <c r="G84" s="149">
        <f t="shared" si="22"/>
        <v>685</v>
      </c>
      <c r="H84" s="149">
        <f t="shared" si="22"/>
        <v>0</v>
      </c>
      <c r="I84" s="149">
        <f>I85+I86+I87+I88</f>
        <v>0</v>
      </c>
      <c r="J84" s="149">
        <f t="shared" si="22"/>
        <v>1191.05</v>
      </c>
      <c r="K84" s="84"/>
      <c r="L84" s="73"/>
    </row>
    <row r="85" spans="1:12" ht="31.2" x14ac:dyDescent="0.3">
      <c r="A85" s="278"/>
      <c r="B85" s="280"/>
      <c r="C85" s="85" t="s">
        <v>174</v>
      </c>
      <c r="D85" s="149">
        <v>0</v>
      </c>
      <c r="E85" s="149">
        <v>0</v>
      </c>
      <c r="F85" s="151">
        <v>0</v>
      </c>
      <c r="G85" s="151">
        <v>0</v>
      </c>
      <c r="H85" s="151">
        <v>0</v>
      </c>
      <c r="I85" s="151">
        <v>0</v>
      </c>
      <c r="J85" s="151">
        <f>SUM(D85:I85)</f>
        <v>0</v>
      </c>
      <c r="K85" s="84"/>
      <c r="L85" s="73"/>
    </row>
    <row r="86" spans="1:12" ht="31.2" x14ac:dyDescent="0.3">
      <c r="A86" s="278"/>
      <c r="B86" s="280"/>
      <c r="C86" s="85" t="s">
        <v>175</v>
      </c>
      <c r="D86" s="149">
        <v>0</v>
      </c>
      <c r="E86" s="149">
        <v>0</v>
      </c>
      <c r="F86" s="151">
        <v>0</v>
      </c>
      <c r="G86" s="151">
        <v>0</v>
      </c>
      <c r="H86" s="151">
        <v>0</v>
      </c>
      <c r="I86" s="151">
        <v>0</v>
      </c>
      <c r="J86" s="151">
        <f>SUM(D86:I86)</f>
        <v>0</v>
      </c>
      <c r="K86" s="84"/>
      <c r="L86" s="73"/>
    </row>
    <row r="87" spans="1:12" ht="15.6" x14ac:dyDescent="0.3">
      <c r="A87" s="278"/>
      <c r="B87" s="280"/>
      <c r="C87" s="83" t="s">
        <v>176</v>
      </c>
      <c r="D87" s="149">
        <v>0</v>
      </c>
      <c r="E87" s="149">
        <f>70+352.05-8.75</f>
        <v>413.3</v>
      </c>
      <c r="F87" s="151">
        <f>273.25-180.5</f>
        <v>92.75</v>
      </c>
      <c r="G87" s="151">
        <f>2200-2038+2+521</f>
        <v>685</v>
      </c>
      <c r="H87" s="151">
        <v>0</v>
      </c>
      <c r="I87" s="151">
        <v>0</v>
      </c>
      <c r="J87" s="151">
        <f>SUM(D87:I87)</f>
        <v>1191.05</v>
      </c>
      <c r="K87" s="84"/>
      <c r="L87" s="73"/>
    </row>
    <row r="88" spans="1:12" ht="15.6" x14ac:dyDescent="0.3">
      <c r="A88" s="279"/>
      <c r="B88" s="281"/>
      <c r="C88" s="83" t="s">
        <v>177</v>
      </c>
      <c r="D88" s="149">
        <v>0</v>
      </c>
      <c r="E88" s="149">
        <v>0</v>
      </c>
      <c r="F88" s="151">
        <v>0</v>
      </c>
      <c r="G88" s="151">
        <v>0</v>
      </c>
      <c r="H88" s="151">
        <v>0</v>
      </c>
      <c r="I88" s="151">
        <v>0</v>
      </c>
      <c r="J88" s="151">
        <f>SUM(D88:I88)</f>
        <v>0</v>
      </c>
      <c r="K88" s="84"/>
      <c r="L88" s="73"/>
    </row>
    <row r="89" spans="1:12" ht="15.6" x14ac:dyDescent="0.3">
      <c r="A89" s="282" t="s">
        <v>178</v>
      </c>
      <c r="B89" s="284" t="s">
        <v>296</v>
      </c>
      <c r="C89" s="83" t="s">
        <v>173</v>
      </c>
      <c r="D89" s="149">
        <v>0</v>
      </c>
      <c r="E89" s="149">
        <f t="shared" ref="E89:J89" si="23">E90+E91+E92+E93</f>
        <v>343.89</v>
      </c>
      <c r="F89" s="149">
        <f t="shared" si="23"/>
        <v>3365.35619</v>
      </c>
      <c r="G89" s="149">
        <f t="shared" si="23"/>
        <v>900</v>
      </c>
      <c r="H89" s="149">
        <f t="shared" si="23"/>
        <v>0</v>
      </c>
      <c r="I89" s="149">
        <f t="shared" si="23"/>
        <v>0</v>
      </c>
      <c r="J89" s="149">
        <f t="shared" si="23"/>
        <v>4609.2461899999998</v>
      </c>
      <c r="K89" s="84"/>
      <c r="L89" s="73"/>
    </row>
    <row r="90" spans="1:12" ht="31.2" x14ac:dyDescent="0.3">
      <c r="A90" s="278"/>
      <c r="B90" s="285"/>
      <c r="C90" s="85" t="s">
        <v>174</v>
      </c>
      <c r="D90" s="149">
        <v>0</v>
      </c>
      <c r="E90" s="149">
        <v>0</v>
      </c>
      <c r="F90" s="151">
        <v>0</v>
      </c>
      <c r="G90" s="151">
        <v>0</v>
      </c>
      <c r="H90" s="151">
        <v>0</v>
      </c>
      <c r="I90" s="151">
        <v>0</v>
      </c>
      <c r="J90" s="151">
        <f>SUM(D90:I90)</f>
        <v>0</v>
      </c>
      <c r="K90" s="84"/>
      <c r="L90" s="73"/>
    </row>
    <row r="91" spans="1:12" ht="31.2" x14ac:dyDescent="0.3">
      <c r="A91" s="278"/>
      <c r="B91" s="285"/>
      <c r="C91" s="85" t="s">
        <v>175</v>
      </c>
      <c r="D91" s="149">
        <v>0</v>
      </c>
      <c r="E91" s="149">
        <v>0</v>
      </c>
      <c r="F91" s="151">
        <v>0</v>
      </c>
      <c r="G91" s="151">
        <v>0</v>
      </c>
      <c r="H91" s="151">
        <v>0</v>
      </c>
      <c r="I91" s="151">
        <v>0</v>
      </c>
      <c r="J91" s="151">
        <f>SUM(D91:I91)</f>
        <v>0</v>
      </c>
      <c r="K91" s="84"/>
      <c r="L91" s="73"/>
    </row>
    <row r="92" spans="1:12" ht="15.6" x14ac:dyDescent="0.3">
      <c r="A92" s="278"/>
      <c r="B92" s="285"/>
      <c r="C92" s="83" t="s">
        <v>176</v>
      </c>
      <c r="D92" s="149">
        <v>0</v>
      </c>
      <c r="E92" s="149">
        <f>345-1.11</f>
        <v>343.89</v>
      </c>
      <c r="F92" s="151">
        <f>2400+340+282.10353+400+70-126.74734</f>
        <v>3365.35619</v>
      </c>
      <c r="G92" s="151">
        <f>188.4669-188.4669+900</f>
        <v>900</v>
      </c>
      <c r="H92" s="151">
        <v>0</v>
      </c>
      <c r="I92" s="151">
        <v>0</v>
      </c>
      <c r="J92" s="151">
        <f>SUM(D92:I92)</f>
        <v>4609.2461899999998</v>
      </c>
      <c r="K92" s="84"/>
      <c r="L92" s="73"/>
    </row>
    <row r="93" spans="1:12" ht="15.6" x14ac:dyDescent="0.3">
      <c r="A93" s="279"/>
      <c r="B93" s="286"/>
      <c r="C93" s="83" t="s">
        <v>177</v>
      </c>
      <c r="D93" s="149">
        <v>0</v>
      </c>
      <c r="E93" s="149">
        <v>0</v>
      </c>
      <c r="F93" s="151">
        <v>0</v>
      </c>
      <c r="G93" s="151">
        <v>0</v>
      </c>
      <c r="H93" s="151">
        <v>0</v>
      </c>
      <c r="I93" s="151">
        <v>0</v>
      </c>
      <c r="J93" s="151">
        <f>SUM(D93:I93)</f>
        <v>0</v>
      </c>
      <c r="K93" s="84"/>
      <c r="L93" s="73"/>
    </row>
    <row r="94" spans="1:12" ht="15.6" x14ac:dyDescent="0.3">
      <c r="A94" s="282" t="s">
        <v>345</v>
      </c>
      <c r="B94" s="284" t="s">
        <v>346</v>
      </c>
      <c r="C94" s="83" t="s">
        <v>173</v>
      </c>
      <c r="D94" s="149">
        <v>0</v>
      </c>
      <c r="E94" s="149">
        <f t="shared" ref="E94:J94" si="24">E95+E96+E97+E98</f>
        <v>0</v>
      </c>
      <c r="F94" s="149">
        <f t="shared" si="24"/>
        <v>0</v>
      </c>
      <c r="G94" s="149">
        <f t="shared" si="24"/>
        <v>2347.2730200000001</v>
      </c>
      <c r="H94" s="149">
        <f t="shared" si="24"/>
        <v>0</v>
      </c>
      <c r="I94" s="149">
        <f t="shared" si="24"/>
        <v>0</v>
      </c>
      <c r="J94" s="149">
        <f t="shared" si="24"/>
        <v>2347.2730200000001</v>
      </c>
      <c r="K94" s="84"/>
      <c r="L94" s="73"/>
    </row>
    <row r="95" spans="1:12" ht="31.2" x14ac:dyDescent="0.3">
      <c r="A95" s="278"/>
      <c r="B95" s="285"/>
      <c r="C95" s="85" t="s">
        <v>174</v>
      </c>
      <c r="D95" s="149">
        <v>0</v>
      </c>
      <c r="E95" s="149">
        <v>0</v>
      </c>
      <c r="F95" s="151">
        <v>0</v>
      </c>
      <c r="G95" s="151">
        <v>0</v>
      </c>
      <c r="H95" s="151">
        <v>0</v>
      </c>
      <c r="I95" s="151">
        <v>0</v>
      </c>
      <c r="J95" s="151">
        <f>SUM(D95:I95)</f>
        <v>0</v>
      </c>
      <c r="K95" s="84"/>
      <c r="L95" s="73"/>
    </row>
    <row r="96" spans="1:12" ht="31.2" x14ac:dyDescent="0.3">
      <c r="A96" s="278"/>
      <c r="B96" s="285"/>
      <c r="C96" s="85" t="s">
        <v>175</v>
      </c>
      <c r="D96" s="149">
        <v>0</v>
      </c>
      <c r="E96" s="149">
        <v>0</v>
      </c>
      <c r="F96" s="151">
        <v>0</v>
      </c>
      <c r="G96" s="151">
        <f>2999.61565-887.07</f>
        <v>2112.54565</v>
      </c>
      <c r="H96" s="151">
        <v>0</v>
      </c>
      <c r="I96" s="151">
        <v>0</v>
      </c>
      <c r="J96" s="151">
        <f>SUM(D96:I96)</f>
        <v>2112.54565</v>
      </c>
      <c r="K96" s="84"/>
      <c r="L96" s="73"/>
    </row>
    <row r="97" spans="1:12" ht="15.6" x14ac:dyDescent="0.3">
      <c r="A97" s="278"/>
      <c r="B97" s="285"/>
      <c r="C97" s="83" t="s">
        <v>347</v>
      </c>
      <c r="D97" s="149">
        <v>0</v>
      </c>
      <c r="E97" s="149">
        <v>0</v>
      </c>
      <c r="F97" s="151">
        <v>0</v>
      </c>
      <c r="G97" s="151">
        <f>30.30303-0.00388+204.42822</f>
        <v>234.72737000000001</v>
      </c>
      <c r="H97" s="151">
        <v>0</v>
      </c>
      <c r="I97" s="151">
        <v>0</v>
      </c>
      <c r="J97" s="151">
        <f>SUM(D97:I97)</f>
        <v>234.72737000000001</v>
      </c>
      <c r="K97" s="84"/>
      <c r="L97" s="73"/>
    </row>
    <row r="98" spans="1:12" ht="15.6" x14ac:dyDescent="0.3">
      <c r="A98" s="279"/>
      <c r="B98" s="286"/>
      <c r="C98" s="83" t="s">
        <v>348</v>
      </c>
      <c r="D98" s="149">
        <v>0</v>
      </c>
      <c r="E98" s="149">
        <v>0</v>
      </c>
      <c r="F98" s="151">
        <v>0</v>
      </c>
      <c r="G98" s="151">
        <v>0</v>
      </c>
      <c r="H98" s="151">
        <v>0</v>
      </c>
      <c r="I98" s="151">
        <v>0</v>
      </c>
      <c r="J98" s="151">
        <f>SUM(D98:I98)</f>
        <v>0</v>
      </c>
      <c r="K98" s="84"/>
      <c r="L98" s="73"/>
    </row>
    <row r="99" spans="1:12" ht="15.6" x14ac:dyDescent="0.3">
      <c r="A99" s="282" t="s">
        <v>76</v>
      </c>
      <c r="B99" s="287" t="s">
        <v>180</v>
      </c>
      <c r="C99" s="80" t="s">
        <v>173</v>
      </c>
      <c r="D99" s="148">
        <f t="shared" ref="D99:J99" si="25">D104</f>
        <v>1882.3</v>
      </c>
      <c r="E99" s="148">
        <f t="shared" si="25"/>
        <v>3181.4050000000002</v>
      </c>
      <c r="F99" s="148">
        <f t="shared" si="25"/>
        <v>3077.2844300000002</v>
      </c>
      <c r="G99" s="148">
        <f t="shared" si="25"/>
        <v>3791.3539999999998</v>
      </c>
      <c r="H99" s="148">
        <f t="shared" si="25"/>
        <v>3943.1080000000002</v>
      </c>
      <c r="I99" s="148">
        <f>I104</f>
        <v>4099.8370000000004</v>
      </c>
      <c r="J99" s="148">
        <f t="shared" si="25"/>
        <v>19975.288430000001</v>
      </c>
      <c r="K99" s="81"/>
      <c r="L99" s="73"/>
    </row>
    <row r="100" spans="1:12" ht="31.2" x14ac:dyDescent="0.3">
      <c r="A100" s="278"/>
      <c r="B100" s="288"/>
      <c r="C100" s="82" t="s">
        <v>174</v>
      </c>
      <c r="D100" s="148">
        <f t="shared" ref="D100:J103" si="26">D105</f>
        <v>0</v>
      </c>
      <c r="E100" s="148">
        <f t="shared" si="26"/>
        <v>0</v>
      </c>
      <c r="F100" s="148">
        <f t="shared" si="26"/>
        <v>0</v>
      </c>
      <c r="G100" s="148">
        <f t="shared" si="26"/>
        <v>0</v>
      </c>
      <c r="H100" s="148">
        <f t="shared" si="26"/>
        <v>0</v>
      </c>
      <c r="I100" s="148">
        <f>I105</f>
        <v>0</v>
      </c>
      <c r="J100" s="148">
        <f t="shared" si="26"/>
        <v>0</v>
      </c>
      <c r="K100" s="81"/>
      <c r="L100" s="73"/>
    </row>
    <row r="101" spans="1:12" ht="31.2" x14ac:dyDescent="0.3">
      <c r="A101" s="278"/>
      <c r="B101" s="288"/>
      <c r="C101" s="82" t="s">
        <v>175</v>
      </c>
      <c r="D101" s="148">
        <f t="shared" si="26"/>
        <v>1882.3</v>
      </c>
      <c r="E101" s="148">
        <f t="shared" si="26"/>
        <v>3181.4050000000002</v>
      </c>
      <c r="F101" s="148">
        <f t="shared" si="26"/>
        <v>3077.2844300000002</v>
      </c>
      <c r="G101" s="148">
        <f t="shared" si="26"/>
        <v>3791.3539999999998</v>
      </c>
      <c r="H101" s="148">
        <f t="shared" si="26"/>
        <v>3943.1080000000002</v>
      </c>
      <c r="I101" s="148">
        <f>I106</f>
        <v>4099.8370000000004</v>
      </c>
      <c r="J101" s="148">
        <f t="shared" si="26"/>
        <v>19975.288430000001</v>
      </c>
      <c r="K101" s="81"/>
      <c r="L101" s="73"/>
    </row>
    <row r="102" spans="1:12" ht="15.6" x14ac:dyDescent="0.3">
      <c r="A102" s="278"/>
      <c r="B102" s="288"/>
      <c r="C102" s="80" t="s">
        <v>176</v>
      </c>
      <c r="D102" s="148">
        <f t="shared" si="26"/>
        <v>0</v>
      </c>
      <c r="E102" s="148">
        <f t="shared" si="26"/>
        <v>0</v>
      </c>
      <c r="F102" s="148">
        <f t="shared" si="26"/>
        <v>0</v>
      </c>
      <c r="G102" s="148">
        <f t="shared" si="26"/>
        <v>0</v>
      </c>
      <c r="H102" s="148">
        <f t="shared" si="26"/>
        <v>0</v>
      </c>
      <c r="I102" s="148">
        <f>I107</f>
        <v>0</v>
      </c>
      <c r="J102" s="148">
        <f t="shared" si="26"/>
        <v>0</v>
      </c>
      <c r="K102" s="81"/>
      <c r="L102" s="73"/>
    </row>
    <row r="103" spans="1:12" ht="15.6" x14ac:dyDescent="0.3">
      <c r="A103" s="279"/>
      <c r="B103" s="289"/>
      <c r="C103" s="80" t="s">
        <v>177</v>
      </c>
      <c r="D103" s="148">
        <f t="shared" si="26"/>
        <v>0</v>
      </c>
      <c r="E103" s="148">
        <f t="shared" si="26"/>
        <v>0</v>
      </c>
      <c r="F103" s="148">
        <f t="shared" si="26"/>
        <v>0</v>
      </c>
      <c r="G103" s="148">
        <f t="shared" si="26"/>
        <v>0</v>
      </c>
      <c r="H103" s="148">
        <f t="shared" si="26"/>
        <v>0</v>
      </c>
      <c r="I103" s="148">
        <f>I108</f>
        <v>0</v>
      </c>
      <c r="J103" s="148">
        <f t="shared" si="26"/>
        <v>0</v>
      </c>
      <c r="K103" s="81"/>
      <c r="L103" s="73"/>
    </row>
    <row r="104" spans="1:12" ht="18.75" customHeight="1" x14ac:dyDescent="0.3">
      <c r="A104" s="282" t="s">
        <v>78</v>
      </c>
      <c r="B104" s="283" t="s">
        <v>79</v>
      </c>
      <c r="C104" s="83" t="s">
        <v>173</v>
      </c>
      <c r="D104" s="149">
        <f t="shared" ref="D104:J104" si="27">D105+D106+D107+D108</f>
        <v>1882.3</v>
      </c>
      <c r="E104" s="149">
        <f t="shared" si="27"/>
        <v>3181.4050000000002</v>
      </c>
      <c r="F104" s="149">
        <f t="shared" si="27"/>
        <v>3077.2844300000002</v>
      </c>
      <c r="G104" s="149">
        <f t="shared" si="27"/>
        <v>3791.3539999999998</v>
      </c>
      <c r="H104" s="149">
        <f t="shared" si="27"/>
        <v>3943.1080000000002</v>
      </c>
      <c r="I104" s="149">
        <f>I105+I106+I107+I108</f>
        <v>4099.8370000000004</v>
      </c>
      <c r="J104" s="149">
        <f t="shared" si="27"/>
        <v>19975.288430000001</v>
      </c>
      <c r="K104" s="84"/>
      <c r="L104" s="73"/>
    </row>
    <row r="105" spans="1:12" ht="31.2" x14ac:dyDescent="0.3">
      <c r="A105" s="278"/>
      <c r="B105" s="280"/>
      <c r="C105" s="85" t="s">
        <v>174</v>
      </c>
      <c r="D105" s="149">
        <v>0</v>
      </c>
      <c r="E105" s="149">
        <v>0</v>
      </c>
      <c r="F105" s="151">
        <v>0</v>
      </c>
      <c r="G105" s="151">
        <v>0</v>
      </c>
      <c r="H105" s="151">
        <v>0</v>
      </c>
      <c r="I105" s="151">
        <v>0</v>
      </c>
      <c r="J105" s="151">
        <f>SUM(D105:I105)</f>
        <v>0</v>
      </c>
      <c r="K105" s="84"/>
      <c r="L105" s="73"/>
    </row>
    <row r="106" spans="1:12" ht="31.2" x14ac:dyDescent="0.3">
      <c r="A106" s="278"/>
      <c r="B106" s="280"/>
      <c r="C106" s="85" t="s">
        <v>175</v>
      </c>
      <c r="D106" s="149">
        <v>1882.3</v>
      </c>
      <c r="E106" s="149">
        <f>3404.117-222.712</f>
        <v>3181.4050000000002</v>
      </c>
      <c r="F106" s="149">
        <f>3179.069-101.78457</f>
        <v>3077.2844300000002</v>
      </c>
      <c r="G106" s="149">
        <v>3791.3539999999998</v>
      </c>
      <c r="H106" s="149">
        <v>3943.1080000000002</v>
      </c>
      <c r="I106" s="149">
        <v>4099.8370000000004</v>
      </c>
      <c r="J106" s="149">
        <f>SUM(D106:I106)</f>
        <v>19975.288430000001</v>
      </c>
      <c r="K106" s="84"/>
      <c r="L106" s="73"/>
    </row>
    <row r="107" spans="1:12" ht="15.6" x14ac:dyDescent="0.3">
      <c r="A107" s="278"/>
      <c r="B107" s="280"/>
      <c r="C107" s="83" t="s">
        <v>176</v>
      </c>
      <c r="D107" s="149">
        <v>0</v>
      </c>
      <c r="E107" s="149">
        <v>0</v>
      </c>
      <c r="F107" s="151">
        <v>0</v>
      </c>
      <c r="G107" s="151">
        <v>0</v>
      </c>
      <c r="H107" s="151">
        <v>0</v>
      </c>
      <c r="I107" s="151">
        <v>0</v>
      </c>
      <c r="J107" s="151">
        <f>SUM(D107:I107)</f>
        <v>0</v>
      </c>
      <c r="K107" s="84"/>
      <c r="L107" s="73"/>
    </row>
    <row r="108" spans="1:12" ht="15.6" x14ac:dyDescent="0.3">
      <c r="A108" s="279"/>
      <c r="B108" s="281"/>
      <c r="C108" s="83" t="s">
        <v>177</v>
      </c>
      <c r="D108" s="149">
        <v>0</v>
      </c>
      <c r="E108" s="149">
        <v>0</v>
      </c>
      <c r="F108" s="151">
        <v>0</v>
      </c>
      <c r="G108" s="151">
        <v>0</v>
      </c>
      <c r="H108" s="151">
        <v>0</v>
      </c>
      <c r="I108" s="151">
        <v>0</v>
      </c>
      <c r="J108" s="151">
        <f>SUM(D108:I108)</f>
        <v>0</v>
      </c>
      <c r="K108" s="84"/>
      <c r="L108" s="73"/>
    </row>
    <row r="109" spans="1:12" ht="15.6" x14ac:dyDescent="0.3">
      <c r="A109" s="282" t="s">
        <v>181</v>
      </c>
      <c r="B109" s="293" t="s">
        <v>182</v>
      </c>
      <c r="C109" s="80" t="s">
        <v>173</v>
      </c>
      <c r="D109" s="148">
        <f>D114</f>
        <v>0</v>
      </c>
      <c r="E109" s="148">
        <f t="shared" ref="E109:J113" si="28">E114</f>
        <v>0</v>
      </c>
      <c r="F109" s="148">
        <f t="shared" si="28"/>
        <v>0</v>
      </c>
      <c r="G109" s="148">
        <f t="shared" si="28"/>
        <v>0</v>
      </c>
      <c r="H109" s="148">
        <f t="shared" si="28"/>
        <v>0</v>
      </c>
      <c r="I109" s="148">
        <f>I114</f>
        <v>0</v>
      </c>
      <c r="J109" s="148">
        <f t="shared" si="28"/>
        <v>0</v>
      </c>
      <c r="K109" s="81"/>
      <c r="L109" s="73"/>
    </row>
    <row r="110" spans="1:12" ht="31.2" x14ac:dyDescent="0.3">
      <c r="A110" s="278"/>
      <c r="B110" s="294"/>
      <c r="C110" s="82" t="s">
        <v>174</v>
      </c>
      <c r="D110" s="148">
        <f>D115</f>
        <v>0</v>
      </c>
      <c r="E110" s="148">
        <f t="shared" si="28"/>
        <v>0</v>
      </c>
      <c r="F110" s="148">
        <f t="shared" si="28"/>
        <v>0</v>
      </c>
      <c r="G110" s="148">
        <f t="shared" si="28"/>
        <v>0</v>
      </c>
      <c r="H110" s="148">
        <f t="shared" si="28"/>
        <v>0</v>
      </c>
      <c r="I110" s="148">
        <f>I115</f>
        <v>0</v>
      </c>
      <c r="J110" s="148">
        <f t="shared" si="28"/>
        <v>0</v>
      </c>
      <c r="K110" s="81"/>
      <c r="L110" s="73"/>
    </row>
    <row r="111" spans="1:12" ht="31.2" x14ac:dyDescent="0.3">
      <c r="A111" s="278"/>
      <c r="B111" s="294"/>
      <c r="C111" s="82" t="s">
        <v>175</v>
      </c>
      <c r="D111" s="148">
        <f>D116</f>
        <v>0</v>
      </c>
      <c r="E111" s="148">
        <f t="shared" si="28"/>
        <v>0</v>
      </c>
      <c r="F111" s="148">
        <f t="shared" si="28"/>
        <v>0</v>
      </c>
      <c r="G111" s="148">
        <f t="shared" si="28"/>
        <v>0</v>
      </c>
      <c r="H111" s="148">
        <f t="shared" si="28"/>
        <v>0</v>
      </c>
      <c r="I111" s="148">
        <f>I116</f>
        <v>0</v>
      </c>
      <c r="J111" s="148">
        <f t="shared" si="28"/>
        <v>0</v>
      </c>
      <c r="K111" s="81"/>
      <c r="L111" s="73"/>
    </row>
    <row r="112" spans="1:12" ht="15.6" x14ac:dyDescent="0.3">
      <c r="A112" s="278"/>
      <c r="B112" s="294"/>
      <c r="C112" s="80" t="s">
        <v>176</v>
      </c>
      <c r="D112" s="148">
        <f>D117</f>
        <v>0</v>
      </c>
      <c r="E112" s="148">
        <f t="shared" si="28"/>
        <v>0</v>
      </c>
      <c r="F112" s="148">
        <f t="shared" si="28"/>
        <v>0</v>
      </c>
      <c r="G112" s="148">
        <f t="shared" si="28"/>
        <v>0</v>
      </c>
      <c r="H112" s="148">
        <f t="shared" si="28"/>
        <v>0</v>
      </c>
      <c r="I112" s="148">
        <f>I117</f>
        <v>0</v>
      </c>
      <c r="J112" s="148">
        <f t="shared" si="28"/>
        <v>0</v>
      </c>
      <c r="K112" s="81"/>
      <c r="L112" s="73"/>
    </row>
    <row r="113" spans="1:12" ht="15.6" x14ac:dyDescent="0.3">
      <c r="A113" s="279"/>
      <c r="B113" s="295"/>
      <c r="C113" s="80" t="s">
        <v>177</v>
      </c>
      <c r="D113" s="148">
        <f>D118</f>
        <v>0</v>
      </c>
      <c r="E113" s="148">
        <f t="shared" si="28"/>
        <v>0</v>
      </c>
      <c r="F113" s="148">
        <f t="shared" si="28"/>
        <v>0</v>
      </c>
      <c r="G113" s="148">
        <f t="shared" si="28"/>
        <v>0</v>
      </c>
      <c r="H113" s="148">
        <f t="shared" si="28"/>
        <v>0</v>
      </c>
      <c r="I113" s="148">
        <f>I118</f>
        <v>0</v>
      </c>
      <c r="J113" s="148">
        <f t="shared" si="28"/>
        <v>0</v>
      </c>
      <c r="K113" s="81"/>
      <c r="L113" s="73"/>
    </row>
    <row r="114" spans="1:12" ht="15.6" x14ac:dyDescent="0.3">
      <c r="A114" s="282" t="s">
        <v>183</v>
      </c>
      <c r="B114" s="296" t="s">
        <v>184</v>
      </c>
      <c r="C114" s="83" t="s">
        <v>173</v>
      </c>
      <c r="D114" s="149">
        <v>0</v>
      </c>
      <c r="E114" s="149">
        <f>E115+E116+E117+E118</f>
        <v>0</v>
      </c>
      <c r="F114" s="151">
        <v>0</v>
      </c>
      <c r="G114" s="151">
        <v>0</v>
      </c>
      <c r="H114" s="151">
        <v>0</v>
      </c>
      <c r="I114" s="151">
        <v>0</v>
      </c>
      <c r="J114" s="151">
        <f>SUM(E114:I114)</f>
        <v>0</v>
      </c>
      <c r="K114" s="84"/>
      <c r="L114" s="73"/>
    </row>
    <row r="115" spans="1:12" ht="31.2" x14ac:dyDescent="0.3">
      <c r="A115" s="278"/>
      <c r="B115" s="297"/>
      <c r="C115" s="85" t="s">
        <v>174</v>
      </c>
      <c r="D115" s="149">
        <v>0</v>
      </c>
      <c r="E115" s="149">
        <v>0</v>
      </c>
      <c r="F115" s="151">
        <v>0</v>
      </c>
      <c r="G115" s="151">
        <v>0</v>
      </c>
      <c r="H115" s="151">
        <v>0</v>
      </c>
      <c r="I115" s="151">
        <v>0</v>
      </c>
      <c r="J115" s="151">
        <f>SUM(E115:I115)</f>
        <v>0</v>
      </c>
      <c r="K115" s="84"/>
      <c r="L115" s="73"/>
    </row>
    <row r="116" spans="1:12" ht="31.2" x14ac:dyDescent="0.3">
      <c r="A116" s="278"/>
      <c r="B116" s="297"/>
      <c r="C116" s="85" t="s">
        <v>175</v>
      </c>
      <c r="D116" s="149">
        <v>0</v>
      </c>
      <c r="E116" s="149">
        <f>30570.5-30570.5</f>
        <v>0</v>
      </c>
      <c r="F116" s="151">
        <v>0</v>
      </c>
      <c r="G116" s="151">
        <v>0</v>
      </c>
      <c r="H116" s="151">
        <v>0</v>
      </c>
      <c r="I116" s="151">
        <v>0</v>
      </c>
      <c r="J116" s="151">
        <f>SUM(E116:I116)</f>
        <v>0</v>
      </c>
      <c r="K116" s="84"/>
      <c r="L116" s="73"/>
    </row>
    <row r="117" spans="1:12" ht="15.6" x14ac:dyDescent="0.3">
      <c r="A117" s="278"/>
      <c r="B117" s="297"/>
      <c r="C117" s="83" t="s">
        <v>176</v>
      </c>
      <c r="D117" s="149">
        <v>0</v>
      </c>
      <c r="E117" s="149">
        <f>942.12-942.12</f>
        <v>0</v>
      </c>
      <c r="F117" s="151">
        <v>0</v>
      </c>
      <c r="G117" s="151">
        <v>0</v>
      </c>
      <c r="H117" s="151">
        <v>0</v>
      </c>
      <c r="I117" s="151">
        <v>0</v>
      </c>
      <c r="J117" s="151">
        <f>SUM(D117:I117)</f>
        <v>0</v>
      </c>
      <c r="K117" s="84"/>
      <c r="L117" s="73"/>
    </row>
    <row r="118" spans="1:12" ht="15.6" x14ac:dyDescent="0.3">
      <c r="A118" s="279"/>
      <c r="B118" s="298"/>
      <c r="C118" s="83" t="s">
        <v>177</v>
      </c>
      <c r="D118" s="149">
        <v>0</v>
      </c>
      <c r="E118" s="149">
        <v>0</v>
      </c>
      <c r="F118" s="151">
        <v>0</v>
      </c>
      <c r="G118" s="151">
        <v>0</v>
      </c>
      <c r="H118" s="151">
        <v>0</v>
      </c>
      <c r="I118" s="151">
        <v>0</v>
      </c>
      <c r="J118" s="151">
        <f>SUM(D118:I118)</f>
        <v>0</v>
      </c>
      <c r="K118" s="84"/>
      <c r="L118" s="73"/>
    </row>
    <row r="119" spans="1:12" ht="27" customHeight="1" x14ac:dyDescent="0.3">
      <c r="A119" s="269" t="s">
        <v>81</v>
      </c>
      <c r="B119" s="268" t="s">
        <v>335</v>
      </c>
      <c r="C119" s="80" t="s">
        <v>173</v>
      </c>
      <c r="D119" s="148">
        <f t="shared" ref="D119:F123" si="29">D124+D149+D204+D224</f>
        <v>333171.89000000007</v>
      </c>
      <c r="E119" s="148">
        <f t="shared" si="29"/>
        <v>376794.27243999991</v>
      </c>
      <c r="F119" s="148">
        <f t="shared" si="29"/>
        <v>452493.57047999999</v>
      </c>
      <c r="G119" s="148">
        <f>G124+G149+G204+G224+G234</f>
        <v>366769.22608999995</v>
      </c>
      <c r="H119" s="148">
        <f>H124+H149+H204+H224+H234</f>
        <v>372687.98548999999</v>
      </c>
      <c r="I119" s="148">
        <f>I124+I149+I204+I224+I234</f>
        <v>380652.43005000008</v>
      </c>
      <c r="J119" s="148">
        <f>J124+J149+J204+J224+J234</f>
        <v>2282564.3745500003</v>
      </c>
      <c r="K119" s="81"/>
      <c r="L119" s="73"/>
    </row>
    <row r="120" spans="1:12" ht="21" customHeight="1" x14ac:dyDescent="0.3">
      <c r="A120" s="269"/>
      <c r="B120" s="268"/>
      <c r="C120" s="82" t="s">
        <v>174</v>
      </c>
      <c r="D120" s="148">
        <f t="shared" si="29"/>
        <v>0</v>
      </c>
      <c r="E120" s="148">
        <f t="shared" si="29"/>
        <v>0</v>
      </c>
      <c r="F120" s="148">
        <f t="shared" si="29"/>
        <v>0</v>
      </c>
      <c r="G120" s="148">
        <f t="shared" ref="G120:J123" si="30">G125+G150+G205+G225</f>
        <v>0</v>
      </c>
      <c r="H120" s="148">
        <f t="shared" si="30"/>
        <v>0</v>
      </c>
      <c r="I120" s="148">
        <f t="shared" si="30"/>
        <v>0</v>
      </c>
      <c r="J120" s="148">
        <f t="shared" si="30"/>
        <v>0</v>
      </c>
      <c r="K120" s="81"/>
      <c r="L120" s="73"/>
    </row>
    <row r="121" spans="1:12" ht="20.25" customHeight="1" x14ac:dyDescent="0.3">
      <c r="A121" s="269"/>
      <c r="B121" s="268"/>
      <c r="C121" s="82" t="s">
        <v>175</v>
      </c>
      <c r="D121" s="148">
        <f t="shared" si="29"/>
        <v>241993.95</v>
      </c>
      <c r="E121" s="148">
        <f t="shared" si="29"/>
        <v>280020.31244000001</v>
      </c>
      <c r="F121" s="148">
        <f t="shared" si="29"/>
        <v>344083.55771000002</v>
      </c>
      <c r="G121" s="148">
        <f>G126+G151+G206+G226+G236</f>
        <v>254963.00405000002</v>
      </c>
      <c r="H121" s="148">
        <f t="shared" si="30"/>
        <v>266567.36210000003</v>
      </c>
      <c r="I121" s="148">
        <f t="shared" si="30"/>
        <v>277546.95200000005</v>
      </c>
      <c r="J121" s="148">
        <f t="shared" si="30"/>
        <v>1664185.7135000001</v>
      </c>
      <c r="K121" s="81"/>
      <c r="L121" s="73"/>
    </row>
    <row r="122" spans="1:12" ht="28.5" customHeight="1" x14ac:dyDescent="0.3">
      <c r="A122" s="269"/>
      <c r="B122" s="268"/>
      <c r="C122" s="80" t="s">
        <v>176</v>
      </c>
      <c r="D122" s="148">
        <f t="shared" si="29"/>
        <v>91177.940000000017</v>
      </c>
      <c r="E122" s="148">
        <f t="shared" si="29"/>
        <v>96773.959999999992</v>
      </c>
      <c r="F122" s="148">
        <f t="shared" si="29"/>
        <v>108410.01277</v>
      </c>
      <c r="G122" s="148">
        <f>G127+G152+G207+G227</f>
        <v>111806.22204000001</v>
      </c>
      <c r="H122" s="148">
        <f t="shared" si="30"/>
        <v>102039.24609</v>
      </c>
      <c r="I122" s="148">
        <f t="shared" si="30"/>
        <v>99024.100749999998</v>
      </c>
      <c r="J122" s="148">
        <f t="shared" si="30"/>
        <v>609231.48165000009</v>
      </c>
      <c r="K122" s="81"/>
      <c r="L122" s="73"/>
    </row>
    <row r="123" spans="1:12" ht="19.5" customHeight="1" x14ac:dyDescent="0.3">
      <c r="A123" s="269"/>
      <c r="B123" s="268"/>
      <c r="C123" s="80" t="s">
        <v>177</v>
      </c>
      <c r="D123" s="148">
        <f t="shared" si="29"/>
        <v>0</v>
      </c>
      <c r="E123" s="148">
        <f t="shared" si="29"/>
        <v>0</v>
      </c>
      <c r="F123" s="148">
        <f t="shared" si="29"/>
        <v>0</v>
      </c>
      <c r="G123" s="148">
        <f t="shared" si="30"/>
        <v>0</v>
      </c>
      <c r="H123" s="148">
        <f t="shared" si="30"/>
        <v>0</v>
      </c>
      <c r="I123" s="148">
        <f t="shared" si="30"/>
        <v>0</v>
      </c>
      <c r="J123" s="148">
        <f t="shared" si="30"/>
        <v>0</v>
      </c>
      <c r="K123" s="81"/>
      <c r="L123" s="73"/>
    </row>
    <row r="124" spans="1:12" ht="15.6" x14ac:dyDescent="0.3">
      <c r="A124" s="290" t="s">
        <v>10</v>
      </c>
      <c r="B124" s="287" t="s">
        <v>82</v>
      </c>
      <c r="C124" s="80" t="s">
        <v>173</v>
      </c>
      <c r="D124" s="148">
        <f t="shared" ref="D124:J124" si="31">D129+D134+D139+D144</f>
        <v>321094.82000000007</v>
      </c>
      <c r="E124" s="148">
        <f t="shared" si="31"/>
        <v>357222.95399999997</v>
      </c>
      <c r="F124" s="148">
        <f t="shared" si="31"/>
        <v>377919.16284</v>
      </c>
      <c r="G124" s="148">
        <f>G129+G134+G139+G144</f>
        <v>352386.59503999999</v>
      </c>
      <c r="H124" s="148">
        <f t="shared" si="31"/>
        <v>354204.94614999997</v>
      </c>
      <c r="I124" s="148">
        <f>I129+I134+I139+I144</f>
        <v>367323.15275000007</v>
      </c>
      <c r="J124" s="148">
        <f t="shared" si="31"/>
        <v>2130151.6307800002</v>
      </c>
      <c r="K124" s="81"/>
      <c r="L124" s="73"/>
    </row>
    <row r="125" spans="1:12" ht="31.2" x14ac:dyDescent="0.3">
      <c r="A125" s="291"/>
      <c r="B125" s="288"/>
      <c r="C125" s="82" t="s">
        <v>174</v>
      </c>
      <c r="D125" s="148">
        <f>D130+D135+D140</f>
        <v>0</v>
      </c>
      <c r="E125" s="148">
        <f t="shared" ref="D125:J128" si="32">E130+E135</f>
        <v>0</v>
      </c>
      <c r="F125" s="148">
        <f t="shared" si="32"/>
        <v>0</v>
      </c>
      <c r="G125" s="148">
        <f t="shared" si="32"/>
        <v>0</v>
      </c>
      <c r="H125" s="148">
        <f t="shared" si="32"/>
        <v>0</v>
      </c>
      <c r="I125" s="148">
        <f>I130+I135</f>
        <v>0</v>
      </c>
      <c r="J125" s="148">
        <f t="shared" si="32"/>
        <v>0</v>
      </c>
      <c r="K125" s="81"/>
      <c r="L125" s="73"/>
    </row>
    <row r="126" spans="1:12" ht="31.2" x14ac:dyDescent="0.3">
      <c r="A126" s="291"/>
      <c r="B126" s="288"/>
      <c r="C126" s="82" t="s">
        <v>175</v>
      </c>
      <c r="D126" s="148">
        <f t="shared" ref="D126:J126" si="33">D131+D136+D141+D146</f>
        <v>233029.19</v>
      </c>
      <c r="E126" s="148">
        <f t="shared" si="33"/>
        <v>263963.14400000003</v>
      </c>
      <c r="F126" s="148">
        <f t="shared" si="33"/>
        <v>279199.41899999999</v>
      </c>
      <c r="G126" s="148">
        <f>G131+G136+G141+G146</f>
        <v>244256.06</v>
      </c>
      <c r="H126" s="148">
        <f t="shared" si="33"/>
        <v>254741.17499999999</v>
      </c>
      <c r="I126" s="148">
        <f>I131+I136+I141+I146</f>
        <v>268590.25200000004</v>
      </c>
      <c r="J126" s="148">
        <f t="shared" si="33"/>
        <v>1543779.24</v>
      </c>
      <c r="K126" s="81"/>
      <c r="L126" s="73"/>
    </row>
    <row r="127" spans="1:12" ht="31.5" customHeight="1" x14ac:dyDescent="0.3">
      <c r="A127" s="291"/>
      <c r="B127" s="288"/>
      <c r="C127" s="80" t="s">
        <v>176</v>
      </c>
      <c r="D127" s="148">
        <f t="shared" si="32"/>
        <v>88065.630000000019</v>
      </c>
      <c r="E127" s="148">
        <f t="shared" si="32"/>
        <v>93259.809999999983</v>
      </c>
      <c r="F127" s="148">
        <f>F132+F137</f>
        <v>98719.74384000001</v>
      </c>
      <c r="G127" s="148">
        <f>G132+G137</f>
        <v>108130.53504</v>
      </c>
      <c r="H127" s="148">
        <f t="shared" si="32"/>
        <v>99463.77115</v>
      </c>
      <c r="I127" s="148">
        <f>I132+I137</f>
        <v>98732.900750000001</v>
      </c>
      <c r="J127" s="148">
        <f>J132+J137</f>
        <v>586372.39078000002</v>
      </c>
      <c r="K127" s="81"/>
      <c r="L127" s="73"/>
    </row>
    <row r="128" spans="1:12" ht="15.6" x14ac:dyDescent="0.3">
      <c r="A128" s="292"/>
      <c r="B128" s="289"/>
      <c r="C128" s="80" t="s">
        <v>177</v>
      </c>
      <c r="D128" s="148">
        <f>D133+D138+D143</f>
        <v>0</v>
      </c>
      <c r="E128" s="148">
        <f t="shared" si="32"/>
        <v>0</v>
      </c>
      <c r="F128" s="148">
        <f t="shared" si="32"/>
        <v>0</v>
      </c>
      <c r="G128" s="148">
        <f t="shared" si="32"/>
        <v>0</v>
      </c>
      <c r="H128" s="148">
        <f t="shared" si="32"/>
        <v>0</v>
      </c>
      <c r="I128" s="148">
        <f>I133+I138</f>
        <v>0</v>
      </c>
      <c r="J128" s="148">
        <f t="shared" si="32"/>
        <v>0</v>
      </c>
      <c r="K128" s="81"/>
      <c r="L128" s="73"/>
    </row>
    <row r="129" spans="1:12" ht="19.5" customHeight="1" x14ac:dyDescent="0.3">
      <c r="A129" s="270" t="s">
        <v>84</v>
      </c>
      <c r="B129" s="277" t="s">
        <v>85</v>
      </c>
      <c r="C129" s="83" t="s">
        <v>173</v>
      </c>
      <c r="D129" s="149">
        <f t="shared" ref="D129:J129" si="34">D130+D131+D132+D133</f>
        <v>309424.98000000004</v>
      </c>
      <c r="E129" s="149">
        <f t="shared" si="34"/>
        <v>325516.35399999999</v>
      </c>
      <c r="F129" s="149">
        <f>F130+F131+F132+F133</f>
        <v>345797.56284000003</v>
      </c>
      <c r="G129" s="149">
        <f t="shared" si="34"/>
        <v>315721.04504</v>
      </c>
      <c r="H129" s="149">
        <f t="shared" si="34"/>
        <v>316369.39614999999</v>
      </c>
      <c r="I129" s="149">
        <f>I130+I131+I132+I133</f>
        <v>329241.95275000005</v>
      </c>
      <c r="J129" s="149">
        <f t="shared" si="34"/>
        <v>1942071.2907799999</v>
      </c>
      <c r="K129" s="84"/>
      <c r="L129" s="73"/>
    </row>
    <row r="130" spans="1:12" ht="19.5" customHeight="1" x14ac:dyDescent="0.3">
      <c r="A130" s="270"/>
      <c r="B130" s="277"/>
      <c r="C130" s="85" t="s">
        <v>174</v>
      </c>
      <c r="D130" s="149">
        <v>0</v>
      </c>
      <c r="E130" s="149">
        <v>0</v>
      </c>
      <c r="F130" s="151">
        <v>0</v>
      </c>
      <c r="G130" s="151">
        <v>0</v>
      </c>
      <c r="H130" s="151">
        <v>0</v>
      </c>
      <c r="I130" s="151">
        <v>0</v>
      </c>
      <c r="J130" s="151">
        <f>SUM(D130:I130)</f>
        <v>0</v>
      </c>
      <c r="K130" s="84"/>
      <c r="L130" s="73"/>
    </row>
    <row r="131" spans="1:12" ht="24" customHeight="1" x14ac:dyDescent="0.3">
      <c r="A131" s="270"/>
      <c r="B131" s="277"/>
      <c r="C131" s="85" t="s">
        <v>175</v>
      </c>
      <c r="D131" s="149">
        <v>221359.35</v>
      </c>
      <c r="E131" s="149">
        <f>234603.41-6279.876+3933.01</f>
        <v>232256.54400000002</v>
      </c>
      <c r="F131" s="149">
        <f>238943.0152+8134.8038</f>
        <v>247077.81899999999</v>
      </c>
      <c r="G131" s="149">
        <f>256548.408-53843.688+4885.79</f>
        <v>207590.51</v>
      </c>
      <c r="H131" s="149">
        <f>274599.363-57693.738</f>
        <v>216905.625</v>
      </c>
      <c r="I131" s="149">
        <f>291895.405-61386.353</f>
        <v>230509.05200000003</v>
      </c>
      <c r="J131" s="151">
        <f>SUM(D131:I131)</f>
        <v>1355698.9</v>
      </c>
      <c r="K131" s="84"/>
      <c r="L131" s="73"/>
    </row>
    <row r="132" spans="1:12" ht="24" customHeight="1" x14ac:dyDescent="0.3">
      <c r="A132" s="270"/>
      <c r="B132" s="277"/>
      <c r="C132" s="83" t="s">
        <v>176</v>
      </c>
      <c r="D132" s="149">
        <f>82871.33-533.06+4758+1148+333-1148-543.51+71+494.57+434+180.3+D142</f>
        <v>88065.630000000019</v>
      </c>
      <c r="E132" s="149">
        <f>75960.43+11956.87+1924.54-192+3504.73-1285.89+1575+766.13+50-1000</f>
        <v>93259.809999999983</v>
      </c>
      <c r="F132" s="151">
        <f>93113.413+880.323+809.193+85.16+590-50+1454.727+1150.98784+470+215.94</f>
        <v>98719.74384000001</v>
      </c>
      <c r="G132" s="151">
        <f>101256.75804+3552.59+90+2681.187+550</f>
        <v>108130.53504</v>
      </c>
      <c r="H132" s="151">
        <f>101659.29914-2195.52799</f>
        <v>99463.77115</v>
      </c>
      <c r="I132" s="151">
        <v>98732.900750000001</v>
      </c>
      <c r="J132" s="151">
        <f>SUM(D132:I132)</f>
        <v>586372.39078000002</v>
      </c>
      <c r="K132" s="84"/>
      <c r="L132" s="73"/>
    </row>
    <row r="133" spans="1:12" ht="21.75" customHeight="1" x14ac:dyDescent="0.3">
      <c r="A133" s="270"/>
      <c r="B133" s="277"/>
      <c r="C133" s="83" t="s">
        <v>177</v>
      </c>
      <c r="D133" s="149">
        <v>0</v>
      </c>
      <c r="E133" s="149">
        <v>0</v>
      </c>
      <c r="F133" s="151">
        <v>0</v>
      </c>
      <c r="G133" s="151">
        <v>0</v>
      </c>
      <c r="H133" s="151">
        <v>0</v>
      </c>
      <c r="I133" s="151">
        <v>0</v>
      </c>
      <c r="J133" s="151">
        <f>SUM(D133:I133)</f>
        <v>0</v>
      </c>
      <c r="K133" s="84"/>
      <c r="L133" s="73"/>
    </row>
    <row r="134" spans="1:12" ht="21.75" customHeight="1" x14ac:dyDescent="0.3">
      <c r="A134" s="282" t="s">
        <v>87</v>
      </c>
      <c r="B134" s="283" t="s">
        <v>88</v>
      </c>
      <c r="C134" s="83" t="s">
        <v>173</v>
      </c>
      <c r="D134" s="149">
        <f t="shared" ref="D134:J134" si="35">D135+D136+D137+D138</f>
        <v>0</v>
      </c>
      <c r="E134" s="149">
        <f t="shared" si="35"/>
        <v>0</v>
      </c>
      <c r="F134" s="149">
        <f t="shared" si="35"/>
        <v>0</v>
      </c>
      <c r="G134" s="149">
        <f t="shared" si="35"/>
        <v>0</v>
      </c>
      <c r="H134" s="149">
        <f t="shared" si="35"/>
        <v>0</v>
      </c>
      <c r="I134" s="149">
        <f>I135+I136+I137+I138</f>
        <v>0</v>
      </c>
      <c r="J134" s="149">
        <f t="shared" si="35"/>
        <v>0</v>
      </c>
      <c r="K134" s="84"/>
      <c r="L134" s="73"/>
    </row>
    <row r="135" spans="1:12" ht="21.75" customHeight="1" x14ac:dyDescent="0.3">
      <c r="A135" s="278"/>
      <c r="B135" s="280"/>
      <c r="C135" s="85" t="s">
        <v>174</v>
      </c>
      <c r="D135" s="149">
        <v>0</v>
      </c>
      <c r="E135" s="149">
        <v>0</v>
      </c>
      <c r="F135" s="151">
        <v>0</v>
      </c>
      <c r="G135" s="151">
        <v>0</v>
      </c>
      <c r="H135" s="151">
        <v>0</v>
      </c>
      <c r="I135" s="151">
        <v>0</v>
      </c>
      <c r="J135" s="151">
        <f t="shared" ref="J135:J148" si="36">SUM(D135:I135)</f>
        <v>0</v>
      </c>
      <c r="K135" s="84"/>
      <c r="L135" s="73"/>
    </row>
    <row r="136" spans="1:12" ht="21.75" customHeight="1" x14ac:dyDescent="0.3">
      <c r="A136" s="278"/>
      <c r="B136" s="280"/>
      <c r="C136" s="85" t="s">
        <v>175</v>
      </c>
      <c r="D136" s="149">
        <v>0</v>
      </c>
      <c r="E136" s="149">
        <v>0</v>
      </c>
      <c r="F136" s="151">
        <v>0</v>
      </c>
      <c r="G136" s="151">
        <v>0</v>
      </c>
      <c r="H136" s="151">
        <v>0</v>
      </c>
      <c r="I136" s="151">
        <v>0</v>
      </c>
      <c r="J136" s="151">
        <f t="shared" si="36"/>
        <v>0</v>
      </c>
      <c r="K136" s="84"/>
      <c r="L136" s="73"/>
    </row>
    <row r="137" spans="1:12" ht="21.75" customHeight="1" x14ac:dyDescent="0.3">
      <c r="A137" s="278"/>
      <c r="B137" s="280"/>
      <c r="C137" s="83" t="s">
        <v>176</v>
      </c>
      <c r="D137" s="149">
        <v>0</v>
      </c>
      <c r="E137" s="149">
        <v>0</v>
      </c>
      <c r="F137" s="151">
        <v>0</v>
      </c>
      <c r="G137" s="151">
        <v>0</v>
      </c>
      <c r="H137" s="151">
        <v>0</v>
      </c>
      <c r="I137" s="151">
        <v>0</v>
      </c>
      <c r="J137" s="151">
        <f t="shared" si="36"/>
        <v>0</v>
      </c>
      <c r="K137" s="84"/>
      <c r="L137" s="73"/>
    </row>
    <row r="138" spans="1:12" ht="21.75" customHeight="1" x14ac:dyDescent="0.3">
      <c r="A138" s="279"/>
      <c r="B138" s="281"/>
      <c r="C138" s="83" t="s">
        <v>177</v>
      </c>
      <c r="D138" s="149">
        <v>0</v>
      </c>
      <c r="E138" s="149">
        <v>0</v>
      </c>
      <c r="F138" s="151">
        <v>0</v>
      </c>
      <c r="G138" s="151">
        <v>0</v>
      </c>
      <c r="H138" s="151">
        <v>0</v>
      </c>
      <c r="I138" s="151">
        <v>0</v>
      </c>
      <c r="J138" s="151">
        <f t="shared" si="36"/>
        <v>0</v>
      </c>
      <c r="K138" s="84"/>
      <c r="L138" s="73"/>
    </row>
    <row r="139" spans="1:12" ht="21.75" customHeight="1" x14ac:dyDescent="0.3">
      <c r="A139" s="282" t="s">
        <v>185</v>
      </c>
      <c r="B139" s="284" t="s">
        <v>186</v>
      </c>
      <c r="C139" s="83" t="s">
        <v>173</v>
      </c>
      <c r="D139" s="149">
        <f t="shared" ref="D139:I139" si="37">D140+D141+D142+D143</f>
        <v>6405.84</v>
      </c>
      <c r="E139" s="149">
        <f t="shared" si="37"/>
        <v>20592</v>
      </c>
      <c r="F139" s="149">
        <f t="shared" si="37"/>
        <v>20475</v>
      </c>
      <c r="G139" s="149">
        <f t="shared" si="37"/>
        <v>22230</v>
      </c>
      <c r="H139" s="149">
        <f t="shared" si="37"/>
        <v>23400</v>
      </c>
      <c r="I139" s="149">
        <f t="shared" si="37"/>
        <v>23400</v>
      </c>
      <c r="J139" s="151">
        <f t="shared" si="36"/>
        <v>116502.84</v>
      </c>
      <c r="K139" s="84"/>
      <c r="L139" s="73"/>
    </row>
    <row r="140" spans="1:12" ht="21.75" customHeight="1" x14ac:dyDescent="0.3">
      <c r="A140" s="278"/>
      <c r="B140" s="285"/>
      <c r="C140" s="85" t="s">
        <v>174</v>
      </c>
      <c r="D140" s="149">
        <v>0</v>
      </c>
      <c r="E140" s="149">
        <v>0</v>
      </c>
      <c r="F140" s="151">
        <v>0</v>
      </c>
      <c r="G140" s="151">
        <v>0</v>
      </c>
      <c r="H140" s="151">
        <v>0</v>
      </c>
      <c r="I140" s="151">
        <v>0</v>
      </c>
      <c r="J140" s="151">
        <f t="shared" si="36"/>
        <v>0</v>
      </c>
      <c r="K140" s="84"/>
      <c r="L140" s="73"/>
    </row>
    <row r="141" spans="1:12" ht="21.75" customHeight="1" x14ac:dyDescent="0.3">
      <c r="A141" s="278"/>
      <c r="B141" s="285"/>
      <c r="C141" s="85" t="s">
        <v>175</v>
      </c>
      <c r="D141" s="149">
        <v>6405.84</v>
      </c>
      <c r="E141" s="149">
        <v>20592</v>
      </c>
      <c r="F141" s="151">
        <v>20475</v>
      </c>
      <c r="G141" s="151">
        <v>22230</v>
      </c>
      <c r="H141" s="151">
        <f>20475+2925</f>
        <v>23400</v>
      </c>
      <c r="I141" s="151">
        <f>20475+2925</f>
        <v>23400</v>
      </c>
      <c r="J141" s="151">
        <f t="shared" si="36"/>
        <v>116502.84</v>
      </c>
      <c r="K141" s="84"/>
      <c r="L141" s="73"/>
    </row>
    <row r="142" spans="1:12" ht="21.75" customHeight="1" x14ac:dyDescent="0.3">
      <c r="A142" s="278"/>
      <c r="B142" s="285"/>
      <c r="C142" s="83" t="s">
        <v>176</v>
      </c>
      <c r="D142" s="149">
        <v>0</v>
      </c>
      <c r="E142" s="149">
        <v>0</v>
      </c>
      <c r="F142" s="151">
        <v>0</v>
      </c>
      <c r="G142" s="151">
        <v>0</v>
      </c>
      <c r="H142" s="151">
        <v>0</v>
      </c>
      <c r="I142" s="151">
        <v>0</v>
      </c>
      <c r="J142" s="151">
        <f t="shared" si="36"/>
        <v>0</v>
      </c>
      <c r="K142" s="84"/>
      <c r="L142" s="73"/>
    </row>
    <row r="143" spans="1:12" ht="21.75" customHeight="1" x14ac:dyDescent="0.3">
      <c r="A143" s="279"/>
      <c r="B143" s="286"/>
      <c r="C143" s="83" t="s">
        <v>177</v>
      </c>
      <c r="D143" s="149">
        <v>0</v>
      </c>
      <c r="E143" s="149">
        <v>0</v>
      </c>
      <c r="F143" s="151">
        <v>0</v>
      </c>
      <c r="G143" s="151">
        <v>0</v>
      </c>
      <c r="H143" s="151">
        <v>0</v>
      </c>
      <c r="I143" s="151">
        <v>0</v>
      </c>
      <c r="J143" s="151">
        <f t="shared" si="36"/>
        <v>0</v>
      </c>
      <c r="K143" s="84"/>
      <c r="L143" s="73"/>
    </row>
    <row r="144" spans="1:12" ht="21.75" customHeight="1" x14ac:dyDescent="0.3">
      <c r="A144" s="282" t="s">
        <v>187</v>
      </c>
      <c r="B144" s="284" t="s">
        <v>188</v>
      </c>
      <c r="C144" s="83" t="s">
        <v>173</v>
      </c>
      <c r="D144" s="149">
        <f t="shared" ref="D144:I144" si="38">D145+D146+D147+D148</f>
        <v>5264</v>
      </c>
      <c r="E144" s="149">
        <f t="shared" si="38"/>
        <v>11114.6</v>
      </c>
      <c r="F144" s="149">
        <f t="shared" si="38"/>
        <v>11646.6</v>
      </c>
      <c r="G144" s="149">
        <f t="shared" si="38"/>
        <v>14435.55</v>
      </c>
      <c r="H144" s="149">
        <f t="shared" si="38"/>
        <v>14435.55</v>
      </c>
      <c r="I144" s="149">
        <f t="shared" si="38"/>
        <v>14681.2</v>
      </c>
      <c r="J144" s="151">
        <f t="shared" si="36"/>
        <v>71577.5</v>
      </c>
      <c r="K144" s="84"/>
      <c r="L144" s="73"/>
    </row>
    <row r="145" spans="1:12" ht="21.75" customHeight="1" x14ac:dyDescent="0.3">
      <c r="A145" s="278"/>
      <c r="B145" s="285"/>
      <c r="C145" s="85" t="s">
        <v>174</v>
      </c>
      <c r="D145" s="149">
        <v>0</v>
      </c>
      <c r="E145" s="149">
        <v>0</v>
      </c>
      <c r="F145" s="151">
        <v>0</v>
      </c>
      <c r="G145" s="151">
        <v>0</v>
      </c>
      <c r="H145" s="151">
        <v>0</v>
      </c>
      <c r="I145" s="151">
        <v>0</v>
      </c>
      <c r="J145" s="151">
        <f t="shared" si="36"/>
        <v>0</v>
      </c>
      <c r="K145" s="84"/>
      <c r="L145" s="73"/>
    </row>
    <row r="146" spans="1:12" ht="21.75" customHeight="1" x14ac:dyDescent="0.3">
      <c r="A146" s="278"/>
      <c r="B146" s="285"/>
      <c r="C146" s="85" t="s">
        <v>175</v>
      </c>
      <c r="D146" s="149">
        <v>5264</v>
      </c>
      <c r="E146" s="149">
        <v>11114.6</v>
      </c>
      <c r="F146" s="151">
        <f>10876.6+770</f>
        <v>11646.6</v>
      </c>
      <c r="G146" s="151">
        <v>14435.55</v>
      </c>
      <c r="H146" s="151">
        <v>14435.55</v>
      </c>
      <c r="I146" s="151">
        <v>14681.2</v>
      </c>
      <c r="J146" s="151">
        <f t="shared" si="36"/>
        <v>71577.5</v>
      </c>
      <c r="K146" s="84"/>
      <c r="L146" s="73"/>
    </row>
    <row r="147" spans="1:12" ht="21.75" customHeight="1" x14ac:dyDescent="0.3">
      <c r="A147" s="278"/>
      <c r="B147" s="285"/>
      <c r="C147" s="83" t="s">
        <v>176</v>
      </c>
      <c r="D147" s="149">
        <v>0</v>
      </c>
      <c r="E147" s="149">
        <v>0</v>
      </c>
      <c r="F147" s="151">
        <v>0</v>
      </c>
      <c r="G147" s="151">
        <v>0</v>
      </c>
      <c r="H147" s="151">
        <v>0</v>
      </c>
      <c r="I147" s="151">
        <v>0</v>
      </c>
      <c r="J147" s="151">
        <f t="shared" si="36"/>
        <v>0</v>
      </c>
      <c r="K147" s="84"/>
      <c r="L147" s="73"/>
    </row>
    <row r="148" spans="1:12" ht="21.75" customHeight="1" x14ac:dyDescent="0.3">
      <c r="A148" s="279"/>
      <c r="B148" s="286"/>
      <c r="C148" s="83" t="s">
        <v>177</v>
      </c>
      <c r="D148" s="149">
        <v>0</v>
      </c>
      <c r="E148" s="149">
        <v>0</v>
      </c>
      <c r="F148" s="151">
        <v>0</v>
      </c>
      <c r="G148" s="151">
        <v>0</v>
      </c>
      <c r="H148" s="151">
        <v>0</v>
      </c>
      <c r="I148" s="151">
        <v>0</v>
      </c>
      <c r="J148" s="151">
        <f t="shared" si="36"/>
        <v>0</v>
      </c>
      <c r="K148" s="84"/>
      <c r="L148" s="73"/>
    </row>
    <row r="149" spans="1:12" ht="21.75" customHeight="1" x14ac:dyDescent="0.3">
      <c r="A149" s="282" t="s">
        <v>11</v>
      </c>
      <c r="B149" s="287" t="s">
        <v>90</v>
      </c>
      <c r="C149" s="80" t="s">
        <v>173</v>
      </c>
      <c r="D149" s="148">
        <f t="shared" ref="D149:J152" si="39">D154+D159+D164+D169+D174+D179+D184+D189</f>
        <v>3112.31</v>
      </c>
      <c r="E149" s="148">
        <f t="shared" si="39"/>
        <v>8079.6084399999991</v>
      </c>
      <c r="F149" s="148">
        <f>F154+F159+F164+F169+F174+F179+F184+F189+F194+F199</f>
        <v>66210.892640000005</v>
      </c>
      <c r="G149" s="148">
        <f>G154+G159+G164+G169+G174+G179+G184+G189+G194</f>
        <v>2770.7470000000003</v>
      </c>
      <c r="H149" s="148">
        <f t="shared" si="39"/>
        <v>2452.0001099999999</v>
      </c>
      <c r="I149" s="148">
        <f>I154+I159+I164+I169+I174+I179+I184+I189</f>
        <v>291.2</v>
      </c>
      <c r="J149" s="148">
        <f>J154+J159+J164+J169+J174+J179+J184+J189+J197</f>
        <v>82911.758189999993</v>
      </c>
      <c r="K149" s="81"/>
      <c r="L149" s="73"/>
    </row>
    <row r="150" spans="1:12" ht="21.75" customHeight="1" x14ac:dyDescent="0.3">
      <c r="A150" s="278"/>
      <c r="B150" s="288"/>
      <c r="C150" s="82" t="s">
        <v>174</v>
      </c>
      <c r="D150" s="148">
        <f t="shared" si="39"/>
        <v>0</v>
      </c>
      <c r="E150" s="148">
        <f t="shared" si="39"/>
        <v>0</v>
      </c>
      <c r="F150" s="148">
        <f t="shared" si="39"/>
        <v>0</v>
      </c>
      <c r="G150" s="148">
        <f t="shared" si="39"/>
        <v>0</v>
      </c>
      <c r="H150" s="148">
        <f t="shared" si="39"/>
        <v>0</v>
      </c>
      <c r="I150" s="148">
        <f>I155+I160+I165+I170+I175+I180+I185+I190</f>
        <v>0</v>
      </c>
      <c r="J150" s="148">
        <f t="shared" si="39"/>
        <v>0</v>
      </c>
      <c r="K150" s="81"/>
      <c r="L150" s="73"/>
    </row>
    <row r="151" spans="1:12" ht="21.75" customHeight="1" x14ac:dyDescent="0.3">
      <c r="A151" s="278"/>
      <c r="B151" s="288"/>
      <c r="C151" s="82" t="s">
        <v>175</v>
      </c>
      <c r="D151" s="148">
        <f t="shared" si="39"/>
        <v>0</v>
      </c>
      <c r="E151" s="148">
        <f t="shared" si="39"/>
        <v>5192.4284399999997</v>
      </c>
      <c r="F151" s="148">
        <f>F156+F161+F166+F171+F176+F181+F186+F191</f>
        <v>56593.553709999993</v>
      </c>
      <c r="G151" s="148">
        <f t="shared" si="39"/>
        <v>0</v>
      </c>
      <c r="H151" s="148">
        <f t="shared" si="39"/>
        <v>0</v>
      </c>
      <c r="I151" s="148">
        <f>I156+I161+I166+I171+I176+I181+I186+I191</f>
        <v>0</v>
      </c>
      <c r="J151" s="148">
        <f t="shared" si="39"/>
        <v>61785.982149999996</v>
      </c>
      <c r="K151" s="81"/>
      <c r="L151" s="73"/>
    </row>
    <row r="152" spans="1:12" ht="21.75" customHeight="1" x14ac:dyDescent="0.3">
      <c r="A152" s="278"/>
      <c r="B152" s="288"/>
      <c r="C152" s="80" t="s">
        <v>176</v>
      </c>
      <c r="D152" s="148">
        <f t="shared" si="39"/>
        <v>3112.31</v>
      </c>
      <c r="E152" s="148">
        <f t="shared" si="39"/>
        <v>2887.1800000000003</v>
      </c>
      <c r="F152" s="148">
        <f>F157+F162+F167+F172+F177+F182+F187+F192+F197+F202</f>
        <v>9617.3389299999999</v>
      </c>
      <c r="G152" s="148">
        <f>G157+G162+G167+G172+G177+G182+G187+G192+G197</f>
        <v>2770.7470000000003</v>
      </c>
      <c r="H152" s="148">
        <f t="shared" si="39"/>
        <v>2452.0001099999999</v>
      </c>
      <c r="I152" s="148">
        <f>I157+I162+I167+I172+I177+I182+I187+I192</f>
        <v>291.2</v>
      </c>
      <c r="J152" s="148">
        <f>J157+J162+J167+J172+J177+J182+J187+J192+J197+J199</f>
        <v>21130.776040000001</v>
      </c>
      <c r="K152" s="81"/>
      <c r="L152" s="73"/>
    </row>
    <row r="153" spans="1:12" ht="21.75" customHeight="1" x14ac:dyDescent="0.3">
      <c r="A153" s="279"/>
      <c r="B153" s="289"/>
      <c r="C153" s="80" t="s">
        <v>177</v>
      </c>
      <c r="D153" s="148">
        <f t="shared" ref="D153:J153" si="40">D158+D163+D168+D173+D178+D183+D188</f>
        <v>0</v>
      </c>
      <c r="E153" s="148">
        <f t="shared" si="40"/>
        <v>0</v>
      </c>
      <c r="F153" s="148">
        <f t="shared" si="40"/>
        <v>0</v>
      </c>
      <c r="G153" s="148">
        <f t="shared" si="40"/>
        <v>0</v>
      </c>
      <c r="H153" s="148">
        <f t="shared" si="40"/>
        <v>0</v>
      </c>
      <c r="I153" s="148">
        <f>I158+I163+I168+I173+I178+I183+I188</f>
        <v>0</v>
      </c>
      <c r="J153" s="148">
        <f t="shared" si="40"/>
        <v>0</v>
      </c>
      <c r="K153" s="81"/>
      <c r="L153" s="73"/>
    </row>
    <row r="154" spans="1:12" ht="21.75" customHeight="1" x14ac:dyDescent="0.3">
      <c r="A154" s="282" t="s">
        <v>91</v>
      </c>
      <c r="B154" s="283" t="s">
        <v>92</v>
      </c>
      <c r="C154" s="83" t="s">
        <v>173</v>
      </c>
      <c r="D154" s="149">
        <f t="shared" ref="D154:J154" si="41">D155+D156+D157+D158</f>
        <v>0</v>
      </c>
      <c r="E154" s="149">
        <f t="shared" si="41"/>
        <v>0</v>
      </c>
      <c r="F154" s="149">
        <f t="shared" si="41"/>
        <v>0</v>
      </c>
      <c r="G154" s="149">
        <f t="shared" si="41"/>
        <v>0</v>
      </c>
      <c r="H154" s="149">
        <f t="shared" si="41"/>
        <v>0</v>
      </c>
      <c r="I154" s="149">
        <f>I155+I156+I157+I158</f>
        <v>0</v>
      </c>
      <c r="J154" s="149">
        <f t="shared" si="41"/>
        <v>0</v>
      </c>
      <c r="K154" s="84"/>
      <c r="L154" s="73"/>
    </row>
    <row r="155" spans="1:12" ht="21.75" customHeight="1" x14ac:dyDescent="0.3">
      <c r="A155" s="278"/>
      <c r="B155" s="280"/>
      <c r="C155" s="85" t="s">
        <v>174</v>
      </c>
      <c r="D155" s="149">
        <v>0</v>
      </c>
      <c r="E155" s="149">
        <v>0</v>
      </c>
      <c r="F155" s="151">
        <v>0</v>
      </c>
      <c r="G155" s="151">
        <v>0</v>
      </c>
      <c r="H155" s="151">
        <v>0</v>
      </c>
      <c r="I155" s="151">
        <v>0</v>
      </c>
      <c r="J155" s="151">
        <f>SUM(D155:I155)</f>
        <v>0</v>
      </c>
      <c r="K155" s="84"/>
      <c r="L155" s="73"/>
    </row>
    <row r="156" spans="1:12" ht="21.75" customHeight="1" x14ac:dyDescent="0.3">
      <c r="A156" s="278"/>
      <c r="B156" s="280"/>
      <c r="C156" s="85" t="s">
        <v>175</v>
      </c>
      <c r="D156" s="149">
        <v>0</v>
      </c>
      <c r="E156" s="149">
        <v>0</v>
      </c>
      <c r="F156" s="151">
        <v>0</v>
      </c>
      <c r="G156" s="151">
        <v>0</v>
      </c>
      <c r="H156" s="151">
        <v>0</v>
      </c>
      <c r="I156" s="151">
        <v>0</v>
      </c>
      <c r="J156" s="151">
        <f>SUM(D156:I156)</f>
        <v>0</v>
      </c>
      <c r="K156" s="84"/>
      <c r="L156" s="73"/>
    </row>
    <row r="157" spans="1:12" ht="21.75" customHeight="1" x14ac:dyDescent="0.3">
      <c r="A157" s="278"/>
      <c r="B157" s="280"/>
      <c r="C157" s="83" t="s">
        <v>176</v>
      </c>
      <c r="D157" s="149">
        <v>0</v>
      </c>
      <c r="E157" s="149">
        <v>0</v>
      </c>
      <c r="F157" s="151">
        <v>0</v>
      </c>
      <c r="G157" s="151">
        <v>0</v>
      </c>
      <c r="H157" s="151">
        <v>0</v>
      </c>
      <c r="I157" s="151">
        <v>0</v>
      </c>
      <c r="J157" s="151">
        <f>SUM(D157:I157)</f>
        <v>0</v>
      </c>
      <c r="K157" s="84"/>
      <c r="L157" s="73"/>
    </row>
    <row r="158" spans="1:12" ht="21.75" customHeight="1" x14ac:dyDescent="0.3">
      <c r="A158" s="279"/>
      <c r="B158" s="281"/>
      <c r="C158" s="83" t="s">
        <v>177</v>
      </c>
      <c r="D158" s="149">
        <v>0</v>
      </c>
      <c r="E158" s="149">
        <v>0</v>
      </c>
      <c r="F158" s="151">
        <v>0</v>
      </c>
      <c r="G158" s="151">
        <v>0</v>
      </c>
      <c r="H158" s="151">
        <v>0</v>
      </c>
      <c r="I158" s="151">
        <v>0</v>
      </c>
      <c r="J158" s="151">
        <f>SUM(D158:I158)</f>
        <v>0</v>
      </c>
      <c r="K158" s="84"/>
      <c r="L158" s="73"/>
    </row>
    <row r="159" spans="1:12" ht="23.25" customHeight="1" x14ac:dyDescent="0.3">
      <c r="A159" s="282" t="s">
        <v>93</v>
      </c>
      <c r="B159" s="283" t="s">
        <v>94</v>
      </c>
      <c r="C159" s="83" t="s">
        <v>173</v>
      </c>
      <c r="D159" s="149">
        <f t="shared" ref="D159:J159" si="42">D160+D161+D162+D163</f>
        <v>0</v>
      </c>
      <c r="E159" s="149">
        <f t="shared" si="42"/>
        <v>5353.0184399999998</v>
      </c>
      <c r="F159" s="149">
        <f t="shared" si="42"/>
        <v>19638.096369999999</v>
      </c>
      <c r="G159" s="149">
        <f t="shared" si="42"/>
        <v>0</v>
      </c>
      <c r="H159" s="149">
        <f t="shared" si="42"/>
        <v>2160.8001100000001</v>
      </c>
      <c r="I159" s="149">
        <f t="shared" si="42"/>
        <v>0</v>
      </c>
      <c r="J159" s="149">
        <f t="shared" si="42"/>
        <v>27151.914919999999</v>
      </c>
      <c r="K159" s="84"/>
      <c r="L159" s="73"/>
    </row>
    <row r="160" spans="1:12" ht="18.75" customHeight="1" x14ac:dyDescent="0.3">
      <c r="A160" s="278"/>
      <c r="B160" s="280"/>
      <c r="C160" s="85" t="s">
        <v>174</v>
      </c>
      <c r="D160" s="149">
        <v>0</v>
      </c>
      <c r="E160" s="149">
        <v>0</v>
      </c>
      <c r="F160" s="151">
        <v>0</v>
      </c>
      <c r="G160" s="151">
        <v>0</v>
      </c>
      <c r="H160" s="151">
        <v>0</v>
      </c>
      <c r="I160" s="151">
        <v>0</v>
      </c>
      <c r="J160" s="151">
        <f>SUM(D160:I160)</f>
        <v>0</v>
      </c>
      <c r="K160" s="84"/>
      <c r="L160" s="73"/>
    </row>
    <row r="161" spans="1:12" ht="31.2" x14ac:dyDescent="0.3">
      <c r="A161" s="278"/>
      <c r="B161" s="280"/>
      <c r="C161" s="85" t="s">
        <v>175</v>
      </c>
      <c r="D161" s="149">
        <v>0</v>
      </c>
      <c r="E161" s="149">
        <f>7642.79-2450.36156</f>
        <v>5192.4284399999997</v>
      </c>
      <c r="F161" s="151">
        <f>36003.23004-16678.06364-305.53034+29.31744</f>
        <v>19048.9535</v>
      </c>
      <c r="G161" s="151">
        <v>0</v>
      </c>
      <c r="H161" s="151">
        <v>0</v>
      </c>
      <c r="I161" s="151">
        <v>0</v>
      </c>
      <c r="J161" s="151">
        <f>SUM(D161:I161)</f>
        <v>24241.381939999999</v>
      </c>
      <c r="K161" s="84"/>
      <c r="L161" s="73"/>
    </row>
    <row r="162" spans="1:12" ht="15.6" x14ac:dyDescent="0.3">
      <c r="A162" s="278"/>
      <c r="B162" s="280"/>
      <c r="C162" s="83" t="s">
        <v>176</v>
      </c>
      <c r="D162" s="149">
        <f>72.35+17.66-66.94+332.995-332.995-23.07</f>
        <v>0</v>
      </c>
      <c r="E162" s="149">
        <f>1309.44-1073.06-75.79</f>
        <v>160.59000000000009</v>
      </c>
      <c r="F162" s="151">
        <f>100+1630.96-617.458+50-565.81644-8.54269</f>
        <v>589.14287000000002</v>
      </c>
      <c r="G162" s="151">
        <f>0+993.77952-993.77952</f>
        <v>0</v>
      </c>
      <c r="H162" s="151">
        <f>0+2160.80011</f>
        <v>2160.8001100000001</v>
      </c>
      <c r="I162" s="151">
        <v>0</v>
      </c>
      <c r="J162" s="151">
        <f>SUM(D162:I162)</f>
        <v>2910.53298</v>
      </c>
      <c r="K162" s="84"/>
      <c r="L162" s="73"/>
    </row>
    <row r="163" spans="1:12" ht="15.6" x14ac:dyDescent="0.3">
      <c r="A163" s="279"/>
      <c r="B163" s="281"/>
      <c r="C163" s="83" t="s">
        <v>177</v>
      </c>
      <c r="D163" s="149">
        <v>0</v>
      </c>
      <c r="E163" s="149">
        <v>0</v>
      </c>
      <c r="F163" s="151">
        <v>0</v>
      </c>
      <c r="G163" s="151">
        <v>0</v>
      </c>
      <c r="H163" s="151">
        <v>0</v>
      </c>
      <c r="I163" s="151">
        <v>0</v>
      </c>
      <c r="J163" s="151">
        <f>SUM(D163:I163)</f>
        <v>0</v>
      </c>
      <c r="K163" s="84"/>
      <c r="L163" s="73"/>
    </row>
    <row r="164" spans="1:12" ht="15.6" x14ac:dyDescent="0.3">
      <c r="A164" s="282" t="s">
        <v>97</v>
      </c>
      <c r="B164" s="283" t="s">
        <v>71</v>
      </c>
      <c r="C164" s="83" t="s">
        <v>173</v>
      </c>
      <c r="D164" s="149">
        <f t="shared" ref="D164:J164" si="43">D165+D166+D167+D168</f>
        <v>209.6</v>
      </c>
      <c r="E164" s="149">
        <f t="shared" si="43"/>
        <v>148.85999999999999</v>
      </c>
      <c r="F164" s="149">
        <f t="shared" si="43"/>
        <v>170.35944000000001</v>
      </c>
      <c r="G164" s="149">
        <f t="shared" si="43"/>
        <v>221.2</v>
      </c>
      <c r="H164" s="149">
        <f t="shared" si="43"/>
        <v>221.2</v>
      </c>
      <c r="I164" s="149">
        <f>I165+I166+I167+I168</f>
        <v>221.2</v>
      </c>
      <c r="J164" s="149">
        <f t="shared" si="43"/>
        <v>1192.4194400000001</v>
      </c>
      <c r="K164" s="84"/>
      <c r="L164" s="73"/>
    </row>
    <row r="165" spans="1:12" ht="31.2" x14ac:dyDescent="0.3">
      <c r="A165" s="278"/>
      <c r="B165" s="280"/>
      <c r="C165" s="85" t="s">
        <v>174</v>
      </c>
      <c r="D165" s="149">
        <v>0</v>
      </c>
      <c r="E165" s="149">
        <v>0</v>
      </c>
      <c r="F165" s="151">
        <v>0</v>
      </c>
      <c r="G165" s="151">
        <v>0</v>
      </c>
      <c r="H165" s="151">
        <v>0</v>
      </c>
      <c r="I165" s="151">
        <v>0</v>
      </c>
      <c r="J165" s="151">
        <f>SUM(D165:I165)</f>
        <v>0</v>
      </c>
      <c r="K165" s="84"/>
      <c r="L165" s="73"/>
    </row>
    <row r="166" spans="1:12" ht="31.2" x14ac:dyDescent="0.3">
      <c r="A166" s="278"/>
      <c r="B166" s="280"/>
      <c r="C166" s="85" t="s">
        <v>175</v>
      </c>
      <c r="D166" s="149">
        <v>0</v>
      </c>
      <c r="E166" s="149">
        <v>0</v>
      </c>
      <c r="F166" s="151">
        <v>0</v>
      </c>
      <c r="G166" s="151">
        <v>0</v>
      </c>
      <c r="H166" s="151">
        <v>0</v>
      </c>
      <c r="I166" s="151">
        <v>0</v>
      </c>
      <c r="J166" s="151">
        <f>SUM(D166:I166)</f>
        <v>0</v>
      </c>
      <c r="K166" s="84"/>
      <c r="L166" s="73"/>
    </row>
    <row r="167" spans="1:12" ht="15.6" x14ac:dyDescent="0.3">
      <c r="A167" s="278"/>
      <c r="B167" s="280"/>
      <c r="C167" s="83" t="s">
        <v>176</v>
      </c>
      <c r="D167" s="149">
        <v>209.6</v>
      </c>
      <c r="E167" s="149">
        <f>85.7+192-122.9-5.94</f>
        <v>148.85999999999999</v>
      </c>
      <c r="F167" s="151">
        <f>212.8-42.44056</f>
        <v>170.35944000000001</v>
      </c>
      <c r="G167" s="151">
        <v>221.2</v>
      </c>
      <c r="H167" s="151">
        <v>221.2</v>
      </c>
      <c r="I167" s="151">
        <v>221.2</v>
      </c>
      <c r="J167" s="151">
        <f>SUM(D167:I167)</f>
        <v>1192.4194400000001</v>
      </c>
      <c r="K167" s="84"/>
      <c r="L167" s="73"/>
    </row>
    <row r="168" spans="1:12" ht="15.6" x14ac:dyDescent="0.3">
      <c r="A168" s="279"/>
      <c r="B168" s="281"/>
      <c r="C168" s="83" t="s">
        <v>177</v>
      </c>
      <c r="D168" s="149">
        <v>0</v>
      </c>
      <c r="E168" s="149">
        <v>0</v>
      </c>
      <c r="F168" s="151">
        <v>0</v>
      </c>
      <c r="G168" s="151">
        <v>0</v>
      </c>
      <c r="H168" s="151">
        <v>0</v>
      </c>
      <c r="I168" s="151">
        <v>0</v>
      </c>
      <c r="J168" s="151">
        <f>SUM(D168:I168)</f>
        <v>0</v>
      </c>
      <c r="K168" s="84"/>
      <c r="L168" s="73"/>
    </row>
    <row r="169" spans="1:12" ht="15.6" x14ac:dyDescent="0.3">
      <c r="A169" s="282" t="s">
        <v>98</v>
      </c>
      <c r="B169" s="283" t="s">
        <v>189</v>
      </c>
      <c r="C169" s="83" t="s">
        <v>173</v>
      </c>
      <c r="D169" s="149">
        <f t="shared" ref="D169:J169" si="44">D170+D171+D172+D173</f>
        <v>70</v>
      </c>
      <c r="E169" s="149">
        <f t="shared" si="44"/>
        <v>70</v>
      </c>
      <c r="F169" s="149">
        <f t="shared" si="44"/>
        <v>65</v>
      </c>
      <c r="G169" s="149">
        <f t="shared" si="44"/>
        <v>70</v>
      </c>
      <c r="H169" s="149">
        <f t="shared" si="44"/>
        <v>70</v>
      </c>
      <c r="I169" s="149">
        <f t="shared" si="44"/>
        <v>70</v>
      </c>
      <c r="J169" s="149">
        <f t="shared" si="44"/>
        <v>415</v>
      </c>
      <c r="K169" s="84"/>
      <c r="L169" s="73"/>
    </row>
    <row r="170" spans="1:12" ht="31.2" x14ac:dyDescent="0.3">
      <c r="A170" s="278"/>
      <c r="B170" s="280"/>
      <c r="C170" s="85" t="s">
        <v>174</v>
      </c>
      <c r="D170" s="149">
        <v>0</v>
      </c>
      <c r="E170" s="149">
        <v>0</v>
      </c>
      <c r="F170" s="151">
        <v>0</v>
      </c>
      <c r="G170" s="151">
        <v>0</v>
      </c>
      <c r="H170" s="151">
        <v>0</v>
      </c>
      <c r="I170" s="151">
        <v>0</v>
      </c>
      <c r="J170" s="151">
        <f>SUM(D170:I170)</f>
        <v>0</v>
      </c>
      <c r="K170" s="84"/>
      <c r="L170" s="73"/>
    </row>
    <row r="171" spans="1:12" ht="31.2" x14ac:dyDescent="0.3">
      <c r="A171" s="278"/>
      <c r="B171" s="280"/>
      <c r="C171" s="85" t="s">
        <v>175</v>
      </c>
      <c r="D171" s="149">
        <v>0</v>
      </c>
      <c r="E171" s="149">
        <v>0</v>
      </c>
      <c r="F171" s="151">
        <v>0</v>
      </c>
      <c r="G171" s="151">
        <v>0</v>
      </c>
      <c r="H171" s="151">
        <v>0</v>
      </c>
      <c r="I171" s="151">
        <v>0</v>
      </c>
      <c r="J171" s="151">
        <f>SUM(D171:I171)</f>
        <v>0</v>
      </c>
      <c r="K171" s="84"/>
      <c r="L171" s="73"/>
    </row>
    <row r="172" spans="1:12" ht="15.6" x14ac:dyDescent="0.3">
      <c r="A172" s="278"/>
      <c r="B172" s="280"/>
      <c r="C172" s="83" t="s">
        <v>176</v>
      </c>
      <c r="D172" s="149">
        <v>70</v>
      </c>
      <c r="E172" s="149">
        <v>70</v>
      </c>
      <c r="F172" s="151">
        <f>70-5</f>
        <v>65</v>
      </c>
      <c r="G172" s="151">
        <v>70</v>
      </c>
      <c r="H172" s="151">
        <v>70</v>
      </c>
      <c r="I172" s="151">
        <v>70</v>
      </c>
      <c r="J172" s="151">
        <f>SUM(D172:I172)</f>
        <v>415</v>
      </c>
      <c r="K172" s="84"/>
      <c r="L172" s="73"/>
    </row>
    <row r="173" spans="1:12" ht="15.6" x14ac:dyDescent="0.3">
      <c r="A173" s="279"/>
      <c r="B173" s="281"/>
      <c r="C173" s="83" t="s">
        <v>177</v>
      </c>
      <c r="D173" s="149">
        <v>0</v>
      </c>
      <c r="E173" s="149">
        <v>0</v>
      </c>
      <c r="F173" s="151">
        <v>0</v>
      </c>
      <c r="G173" s="151">
        <v>0</v>
      </c>
      <c r="H173" s="151">
        <v>0</v>
      </c>
      <c r="I173" s="151">
        <v>0</v>
      </c>
      <c r="J173" s="151">
        <f>SUM(D173:I173)</f>
        <v>0</v>
      </c>
      <c r="K173" s="84"/>
      <c r="L173" s="73"/>
    </row>
    <row r="174" spans="1:12" ht="15.6" x14ac:dyDescent="0.3">
      <c r="A174" s="282" t="s">
        <v>102</v>
      </c>
      <c r="B174" s="283" t="s">
        <v>74</v>
      </c>
      <c r="C174" s="83" t="s">
        <v>173</v>
      </c>
      <c r="D174" s="149">
        <f t="shared" ref="D174:J174" si="45">D175+D176+D177+D178</f>
        <v>2832.71</v>
      </c>
      <c r="E174" s="149">
        <f t="shared" si="45"/>
        <v>631.53</v>
      </c>
      <c r="F174" s="149">
        <f t="shared" si="45"/>
        <v>875.35</v>
      </c>
      <c r="G174" s="149">
        <f t="shared" si="45"/>
        <v>1355.1669999999999</v>
      </c>
      <c r="H174" s="149">
        <f t="shared" si="45"/>
        <v>0</v>
      </c>
      <c r="I174" s="149">
        <f>I175+I176+I177+I178</f>
        <v>0</v>
      </c>
      <c r="J174" s="149">
        <f t="shared" si="45"/>
        <v>5694.7569999999996</v>
      </c>
      <c r="K174" s="84"/>
      <c r="L174" s="73"/>
    </row>
    <row r="175" spans="1:12" ht="31.2" x14ac:dyDescent="0.3">
      <c r="A175" s="278"/>
      <c r="B175" s="280"/>
      <c r="C175" s="85" t="s">
        <v>174</v>
      </c>
      <c r="D175" s="149">
        <v>0</v>
      </c>
      <c r="E175" s="149">
        <v>0</v>
      </c>
      <c r="F175" s="151">
        <v>0</v>
      </c>
      <c r="G175" s="151">
        <v>0</v>
      </c>
      <c r="H175" s="151">
        <v>0</v>
      </c>
      <c r="I175" s="151">
        <v>0</v>
      </c>
      <c r="J175" s="151">
        <f>SUM(D175:I175)</f>
        <v>0</v>
      </c>
      <c r="K175" s="84"/>
      <c r="L175" s="73"/>
    </row>
    <row r="176" spans="1:12" ht="31.2" x14ac:dyDescent="0.3">
      <c r="A176" s="278"/>
      <c r="B176" s="280"/>
      <c r="C176" s="85" t="s">
        <v>175</v>
      </c>
      <c r="D176" s="149">
        <v>0</v>
      </c>
      <c r="E176" s="149">
        <v>0</v>
      </c>
      <c r="F176" s="151">
        <v>0</v>
      </c>
      <c r="G176" s="151">
        <v>0</v>
      </c>
      <c r="H176" s="151">
        <v>0</v>
      </c>
      <c r="I176" s="151">
        <v>0</v>
      </c>
      <c r="J176" s="151">
        <f>SUM(D176:I176)</f>
        <v>0</v>
      </c>
      <c r="K176" s="84"/>
      <c r="L176" s="73"/>
    </row>
    <row r="177" spans="1:12" ht="39.75" customHeight="1" x14ac:dyDescent="0.3">
      <c r="A177" s="278"/>
      <c r="B177" s="280"/>
      <c r="C177" s="83" t="s">
        <v>176</v>
      </c>
      <c r="D177" s="149">
        <f>200+2632.71</f>
        <v>2832.71</v>
      </c>
      <c r="E177" s="149">
        <f>100+620+631-88.47-631</f>
        <v>631.53</v>
      </c>
      <c r="F177" s="151">
        <f>350+350.5+180.5-5.65</f>
        <v>875.35</v>
      </c>
      <c r="G177" s="151">
        <f>3000-1047.413+8-605.42</f>
        <v>1355.1669999999999</v>
      </c>
      <c r="H177" s="151">
        <v>0</v>
      </c>
      <c r="I177" s="151">
        <v>0</v>
      </c>
      <c r="J177" s="151">
        <f>SUM(D177:I177)</f>
        <v>5694.7569999999996</v>
      </c>
      <c r="K177" s="84"/>
      <c r="L177" s="73"/>
    </row>
    <row r="178" spans="1:12" ht="15.6" x14ac:dyDescent="0.3">
      <c r="A178" s="279"/>
      <c r="B178" s="281"/>
      <c r="C178" s="83" t="s">
        <v>177</v>
      </c>
      <c r="D178" s="149">
        <v>0</v>
      </c>
      <c r="E178" s="149">
        <v>0</v>
      </c>
      <c r="F178" s="151">
        <v>0</v>
      </c>
      <c r="G178" s="151">
        <v>0</v>
      </c>
      <c r="H178" s="151">
        <v>0</v>
      </c>
      <c r="I178" s="151">
        <v>0</v>
      </c>
      <c r="J178" s="151">
        <f>SUM(D178:I178)</f>
        <v>0</v>
      </c>
      <c r="K178" s="84"/>
      <c r="L178" s="73"/>
    </row>
    <row r="179" spans="1:12" ht="15.6" x14ac:dyDescent="0.3">
      <c r="A179" s="282" t="s">
        <v>103</v>
      </c>
      <c r="B179" s="283" t="s">
        <v>104</v>
      </c>
      <c r="C179" s="83" t="s">
        <v>173</v>
      </c>
      <c r="D179" s="149">
        <f t="shared" ref="D179:J179" si="46">D180+D181+D182+D183</f>
        <v>0</v>
      </c>
      <c r="E179" s="149">
        <f t="shared" si="46"/>
        <v>0</v>
      </c>
      <c r="F179" s="149">
        <f t="shared" si="46"/>
        <v>0</v>
      </c>
      <c r="G179" s="149">
        <f t="shared" si="46"/>
        <v>0</v>
      </c>
      <c r="H179" s="149">
        <f t="shared" si="46"/>
        <v>0</v>
      </c>
      <c r="I179" s="149">
        <f>I180+I181+I182+I183</f>
        <v>0</v>
      </c>
      <c r="J179" s="149">
        <f t="shared" si="46"/>
        <v>0</v>
      </c>
      <c r="K179" s="84"/>
      <c r="L179" s="73"/>
    </row>
    <row r="180" spans="1:12" ht="31.2" x14ac:dyDescent="0.3">
      <c r="A180" s="278"/>
      <c r="B180" s="280"/>
      <c r="C180" s="85" t="s">
        <v>174</v>
      </c>
      <c r="D180" s="149">
        <v>0</v>
      </c>
      <c r="E180" s="149">
        <v>0</v>
      </c>
      <c r="F180" s="151">
        <v>0</v>
      </c>
      <c r="G180" s="151">
        <v>0</v>
      </c>
      <c r="H180" s="151">
        <v>0</v>
      </c>
      <c r="I180" s="151">
        <v>0</v>
      </c>
      <c r="J180" s="151">
        <f>SUM(D180:I180)</f>
        <v>0</v>
      </c>
      <c r="K180" s="84"/>
      <c r="L180" s="73"/>
    </row>
    <row r="181" spans="1:12" ht="31.2" x14ac:dyDescent="0.3">
      <c r="A181" s="278"/>
      <c r="B181" s="280"/>
      <c r="C181" s="85" t="s">
        <v>175</v>
      </c>
      <c r="D181" s="149">
        <v>0</v>
      </c>
      <c r="E181" s="149">
        <v>0</v>
      </c>
      <c r="F181" s="151">
        <v>0</v>
      </c>
      <c r="G181" s="151">
        <v>0</v>
      </c>
      <c r="H181" s="151">
        <v>0</v>
      </c>
      <c r="I181" s="151">
        <v>0</v>
      </c>
      <c r="J181" s="151">
        <f>SUM(D181:I181)</f>
        <v>0</v>
      </c>
      <c r="K181" s="84"/>
      <c r="L181" s="73"/>
    </row>
    <row r="182" spans="1:12" ht="15.6" x14ac:dyDescent="0.3">
      <c r="A182" s="278"/>
      <c r="B182" s="280"/>
      <c r="C182" s="83" t="s">
        <v>176</v>
      </c>
      <c r="D182" s="149">
        <v>0</v>
      </c>
      <c r="E182" s="149">
        <v>0</v>
      </c>
      <c r="F182" s="151">
        <v>0</v>
      </c>
      <c r="G182" s="151">
        <v>0</v>
      </c>
      <c r="H182" s="151">
        <v>0</v>
      </c>
      <c r="I182" s="151">
        <v>0</v>
      </c>
      <c r="J182" s="151">
        <f>SUM(D182:I182)</f>
        <v>0</v>
      </c>
      <c r="K182" s="84"/>
      <c r="L182" s="73"/>
    </row>
    <row r="183" spans="1:12" ht="15.6" x14ac:dyDescent="0.3">
      <c r="A183" s="279"/>
      <c r="B183" s="281"/>
      <c r="C183" s="83" t="s">
        <v>177</v>
      </c>
      <c r="D183" s="149">
        <v>0</v>
      </c>
      <c r="E183" s="149">
        <v>0</v>
      </c>
      <c r="F183" s="151">
        <v>0</v>
      </c>
      <c r="G183" s="151">
        <v>0</v>
      </c>
      <c r="H183" s="151">
        <v>0</v>
      </c>
      <c r="I183" s="151">
        <v>0</v>
      </c>
      <c r="J183" s="151">
        <f>SUM(D183:I183)</f>
        <v>0</v>
      </c>
      <c r="K183" s="84"/>
      <c r="L183" s="73"/>
    </row>
    <row r="184" spans="1:12" ht="24" customHeight="1" x14ac:dyDescent="0.3">
      <c r="A184" s="270" t="s">
        <v>105</v>
      </c>
      <c r="B184" s="277" t="s">
        <v>106</v>
      </c>
      <c r="C184" s="83" t="s">
        <v>173</v>
      </c>
      <c r="D184" s="149">
        <f t="shared" ref="D184:J184" si="47">D185+D186+D187+D188</f>
        <v>0</v>
      </c>
      <c r="E184" s="149">
        <f t="shared" si="47"/>
        <v>1876.2</v>
      </c>
      <c r="F184" s="149">
        <f t="shared" si="47"/>
        <v>193.2</v>
      </c>
      <c r="G184" s="149">
        <f t="shared" si="47"/>
        <v>647.08000000000004</v>
      </c>
      <c r="H184" s="149">
        <f t="shared" si="47"/>
        <v>0</v>
      </c>
      <c r="I184" s="149">
        <f>I185+I186+I187+I188</f>
        <v>0</v>
      </c>
      <c r="J184" s="149">
        <f t="shared" si="47"/>
        <v>2716.48</v>
      </c>
      <c r="K184" s="84"/>
      <c r="L184" s="73"/>
    </row>
    <row r="185" spans="1:12" ht="21.75" customHeight="1" x14ac:dyDescent="0.3">
      <c r="A185" s="270"/>
      <c r="B185" s="277"/>
      <c r="C185" s="85" t="s">
        <v>174</v>
      </c>
      <c r="D185" s="149">
        <v>0</v>
      </c>
      <c r="E185" s="149">
        <v>0</v>
      </c>
      <c r="F185" s="151">
        <v>0</v>
      </c>
      <c r="G185" s="151">
        <v>0</v>
      </c>
      <c r="H185" s="151">
        <v>0</v>
      </c>
      <c r="I185" s="151">
        <v>0</v>
      </c>
      <c r="J185" s="151">
        <f>SUM(D185:I185)</f>
        <v>0</v>
      </c>
      <c r="K185" s="84"/>
      <c r="L185" s="73"/>
    </row>
    <row r="186" spans="1:12" ht="21" customHeight="1" x14ac:dyDescent="0.3">
      <c r="A186" s="270"/>
      <c r="B186" s="277"/>
      <c r="C186" s="85" t="s">
        <v>175</v>
      </c>
      <c r="D186" s="149">
        <v>0</v>
      </c>
      <c r="E186" s="149">
        <v>0</v>
      </c>
      <c r="F186" s="151">
        <v>0</v>
      </c>
      <c r="G186" s="151">
        <v>0</v>
      </c>
      <c r="H186" s="151">
        <v>0</v>
      </c>
      <c r="I186" s="151">
        <v>0</v>
      </c>
      <c r="J186" s="151">
        <f>SUM(D186:I186)</f>
        <v>0</v>
      </c>
      <c r="K186" s="84"/>
      <c r="L186" s="73"/>
    </row>
    <row r="187" spans="1:12" ht="15.6" x14ac:dyDescent="0.3">
      <c r="A187" s="270"/>
      <c r="B187" s="277"/>
      <c r="C187" s="83" t="s">
        <v>176</v>
      </c>
      <c r="D187" s="149">
        <v>0</v>
      </c>
      <c r="E187" s="149">
        <f>0+1285.89+594-3.69</f>
        <v>1876.2</v>
      </c>
      <c r="F187" s="151">
        <f>0+193.2</f>
        <v>193.2</v>
      </c>
      <c r="G187" s="151">
        <v>647.08000000000004</v>
      </c>
      <c r="H187" s="151">
        <v>0</v>
      </c>
      <c r="I187" s="151">
        <v>0</v>
      </c>
      <c r="J187" s="151">
        <f>SUM(D187:I187)</f>
        <v>2716.48</v>
      </c>
      <c r="K187" s="84"/>
      <c r="L187" s="73"/>
    </row>
    <row r="188" spans="1:12" ht="20.25" customHeight="1" x14ac:dyDescent="0.3">
      <c r="A188" s="270"/>
      <c r="B188" s="277"/>
      <c r="C188" s="83" t="s">
        <v>177</v>
      </c>
      <c r="D188" s="149">
        <v>0</v>
      </c>
      <c r="E188" s="149">
        <v>0</v>
      </c>
      <c r="F188" s="151">
        <v>0</v>
      </c>
      <c r="G188" s="151">
        <v>0</v>
      </c>
      <c r="H188" s="151">
        <v>0</v>
      </c>
      <c r="I188" s="151">
        <v>0</v>
      </c>
      <c r="J188" s="151">
        <f>SUM(D188:I188)</f>
        <v>0</v>
      </c>
      <c r="K188" s="84"/>
      <c r="L188" s="73"/>
    </row>
    <row r="189" spans="1:12" ht="24" customHeight="1" x14ac:dyDescent="0.3">
      <c r="A189" s="270" t="s">
        <v>293</v>
      </c>
      <c r="B189" s="277" t="s">
        <v>294</v>
      </c>
      <c r="C189" s="83" t="s">
        <v>173</v>
      </c>
      <c r="D189" s="149">
        <f t="shared" ref="D189:J189" si="48">D190+D191+D192+D193</f>
        <v>0</v>
      </c>
      <c r="E189" s="149">
        <f t="shared" si="48"/>
        <v>0</v>
      </c>
      <c r="F189" s="149">
        <f t="shared" si="48"/>
        <v>41901.922919999997</v>
      </c>
      <c r="G189" s="149">
        <f t="shared" si="48"/>
        <v>0</v>
      </c>
      <c r="H189" s="149">
        <f t="shared" si="48"/>
        <v>0</v>
      </c>
      <c r="I189" s="149">
        <f t="shared" si="48"/>
        <v>0</v>
      </c>
      <c r="J189" s="149">
        <f t="shared" si="48"/>
        <v>41901.922919999997</v>
      </c>
      <c r="K189" s="84"/>
      <c r="L189" s="73"/>
    </row>
    <row r="190" spans="1:12" ht="21.75" customHeight="1" x14ac:dyDescent="0.3">
      <c r="A190" s="270"/>
      <c r="B190" s="277"/>
      <c r="C190" s="85" t="s">
        <v>174</v>
      </c>
      <c r="D190" s="149">
        <v>0</v>
      </c>
      <c r="E190" s="149">
        <v>0</v>
      </c>
      <c r="F190" s="151">
        <v>0</v>
      </c>
      <c r="G190" s="151">
        <v>0</v>
      </c>
      <c r="H190" s="151">
        <v>0</v>
      </c>
      <c r="I190" s="151">
        <v>0</v>
      </c>
      <c r="J190" s="151">
        <f>SUM(D190:I190)</f>
        <v>0</v>
      </c>
      <c r="K190" s="84"/>
      <c r="L190" s="73"/>
    </row>
    <row r="191" spans="1:12" ht="21" customHeight="1" x14ac:dyDescent="0.3">
      <c r="A191" s="270"/>
      <c r="B191" s="277"/>
      <c r="C191" s="85" t="s">
        <v>175</v>
      </c>
      <c r="D191" s="149">
        <v>0</v>
      </c>
      <c r="E191" s="149">
        <v>0</v>
      </c>
      <c r="F191" s="151">
        <f>6004.99048+31526.20001+0.00096+13.40876</f>
        <v>37544.600209999997</v>
      </c>
      <c r="G191" s="151">
        <v>0</v>
      </c>
      <c r="H191" s="151">
        <v>0</v>
      </c>
      <c r="I191" s="151">
        <v>0</v>
      </c>
      <c r="J191" s="151">
        <f>SUM(D191:I191)</f>
        <v>37544.600209999997</v>
      </c>
      <c r="K191" s="84"/>
      <c r="L191" s="73"/>
    </row>
    <row r="192" spans="1:12" ht="15.6" x14ac:dyDescent="0.3">
      <c r="A192" s="270"/>
      <c r="B192" s="277"/>
      <c r="C192" s="83" t="s">
        <v>176</v>
      </c>
      <c r="D192" s="149">
        <v>0</v>
      </c>
      <c r="E192" s="149">
        <v>0</v>
      </c>
      <c r="F192" s="151">
        <f>180.14971+2700+1500-22.827</f>
        <v>4357.3227099999995</v>
      </c>
      <c r="G192" s="151">
        <v>0</v>
      </c>
      <c r="H192" s="151">
        <v>0</v>
      </c>
      <c r="I192" s="151">
        <v>0</v>
      </c>
      <c r="J192" s="151">
        <f>SUM(D192:I192)</f>
        <v>4357.3227099999995</v>
      </c>
      <c r="K192" s="84"/>
      <c r="L192" s="73"/>
    </row>
    <row r="193" spans="1:12" ht="20.25" customHeight="1" x14ac:dyDescent="0.3">
      <c r="A193" s="270"/>
      <c r="B193" s="283"/>
      <c r="C193" s="83" t="s">
        <v>177</v>
      </c>
      <c r="D193" s="149">
        <v>0</v>
      </c>
      <c r="E193" s="149">
        <v>0</v>
      </c>
      <c r="F193" s="151">
        <v>0</v>
      </c>
      <c r="G193" s="151">
        <v>0</v>
      </c>
      <c r="H193" s="151">
        <v>0</v>
      </c>
      <c r="I193" s="151">
        <v>0</v>
      </c>
      <c r="J193" s="151">
        <f>SUM(D193:I193)</f>
        <v>0</v>
      </c>
      <c r="K193" s="84"/>
      <c r="L193" s="73"/>
    </row>
    <row r="194" spans="1:12" ht="20.25" customHeight="1" x14ac:dyDescent="0.3">
      <c r="A194" s="282" t="s">
        <v>297</v>
      </c>
      <c r="B194" s="302" t="s">
        <v>298</v>
      </c>
      <c r="C194" s="83" t="s">
        <v>173</v>
      </c>
      <c r="D194" s="149">
        <f t="shared" ref="D194:J194" si="49">D195+D196+D197+D198</f>
        <v>0</v>
      </c>
      <c r="E194" s="149">
        <f t="shared" si="49"/>
        <v>0</v>
      </c>
      <c r="F194" s="149">
        <f t="shared" si="49"/>
        <v>3361.9639099999999</v>
      </c>
      <c r="G194" s="149">
        <f t="shared" si="49"/>
        <v>477.3</v>
      </c>
      <c r="H194" s="149">
        <f t="shared" si="49"/>
        <v>0</v>
      </c>
      <c r="I194" s="149">
        <f t="shared" si="49"/>
        <v>0</v>
      </c>
      <c r="J194" s="149">
        <f t="shared" si="49"/>
        <v>3839.2639100000001</v>
      </c>
      <c r="K194" s="84"/>
      <c r="L194" s="73"/>
    </row>
    <row r="195" spans="1:12" ht="20.25" customHeight="1" x14ac:dyDescent="0.3">
      <c r="A195" s="278"/>
      <c r="B195" s="302"/>
      <c r="C195" s="85" t="s">
        <v>174</v>
      </c>
      <c r="D195" s="149">
        <v>0</v>
      </c>
      <c r="E195" s="149">
        <v>0</v>
      </c>
      <c r="F195" s="151">
        <v>0</v>
      </c>
      <c r="G195" s="151">
        <v>0</v>
      </c>
      <c r="H195" s="151">
        <v>0</v>
      </c>
      <c r="I195" s="151">
        <v>0</v>
      </c>
      <c r="J195" s="151">
        <f>SUM(D195:I195)</f>
        <v>0</v>
      </c>
      <c r="K195" s="84"/>
      <c r="L195" s="73"/>
    </row>
    <row r="196" spans="1:12" ht="20.25" customHeight="1" x14ac:dyDescent="0.3">
      <c r="A196" s="278"/>
      <c r="B196" s="302"/>
      <c r="C196" s="85" t="s">
        <v>175</v>
      </c>
      <c r="D196" s="149">
        <v>0</v>
      </c>
      <c r="E196" s="149">
        <v>0</v>
      </c>
      <c r="F196" s="151">
        <v>0</v>
      </c>
      <c r="G196" s="151">
        <v>0</v>
      </c>
      <c r="H196" s="151">
        <v>0</v>
      </c>
      <c r="I196" s="151">
        <v>0</v>
      </c>
      <c r="J196" s="151">
        <f>SUM(D196:I196)</f>
        <v>0</v>
      </c>
      <c r="K196" s="84"/>
      <c r="L196" s="73"/>
    </row>
    <row r="197" spans="1:12" ht="20.25" customHeight="1" x14ac:dyDescent="0.3">
      <c r="A197" s="278"/>
      <c r="B197" s="302"/>
      <c r="C197" s="83" t="s">
        <v>176</v>
      </c>
      <c r="D197" s="149">
        <v>0</v>
      </c>
      <c r="E197" s="149">
        <v>0</v>
      </c>
      <c r="F197" s="151">
        <f>0+1000+1613.96391+748</f>
        <v>3361.9639099999999</v>
      </c>
      <c r="G197" s="151">
        <v>477.3</v>
      </c>
      <c r="H197" s="151">
        <v>0</v>
      </c>
      <c r="I197" s="151">
        <v>0</v>
      </c>
      <c r="J197" s="151">
        <f>SUM(D197:I197)</f>
        <v>3839.2639100000001</v>
      </c>
      <c r="K197" s="84"/>
      <c r="L197" s="73"/>
    </row>
    <row r="198" spans="1:12" ht="15.6" x14ac:dyDescent="0.3">
      <c r="A198" s="279"/>
      <c r="B198" s="302"/>
      <c r="C198" s="83" t="s">
        <v>177</v>
      </c>
      <c r="D198" s="149">
        <v>0</v>
      </c>
      <c r="E198" s="149">
        <v>0</v>
      </c>
      <c r="F198" s="151">
        <v>0</v>
      </c>
      <c r="G198" s="151">
        <v>0</v>
      </c>
      <c r="H198" s="151">
        <v>0</v>
      </c>
      <c r="I198" s="151">
        <v>0</v>
      </c>
      <c r="J198" s="151">
        <f>SUM(D198:I198)</f>
        <v>0</v>
      </c>
      <c r="K198" s="84"/>
      <c r="L198" s="73"/>
    </row>
    <row r="199" spans="1:12" s="197" customFormat="1" ht="15.6" x14ac:dyDescent="0.3">
      <c r="A199" s="282" t="s">
        <v>326</v>
      </c>
      <c r="B199" s="302" t="s">
        <v>329</v>
      </c>
      <c r="C199" s="83" t="s">
        <v>173</v>
      </c>
      <c r="D199" s="149">
        <f t="shared" ref="D199:J199" si="50">D200+D201+D202+D203</f>
        <v>0</v>
      </c>
      <c r="E199" s="149">
        <f t="shared" si="50"/>
        <v>0</v>
      </c>
      <c r="F199" s="149">
        <f t="shared" si="50"/>
        <v>5</v>
      </c>
      <c r="G199" s="149">
        <f t="shared" si="50"/>
        <v>0</v>
      </c>
      <c r="H199" s="149">
        <f t="shared" si="50"/>
        <v>0</v>
      </c>
      <c r="I199" s="149">
        <f t="shared" si="50"/>
        <v>0</v>
      </c>
      <c r="J199" s="149">
        <f t="shared" si="50"/>
        <v>5</v>
      </c>
      <c r="K199" s="195"/>
      <c r="L199" s="196"/>
    </row>
    <row r="200" spans="1:12" s="197" customFormat="1" ht="16.95" customHeight="1" x14ac:dyDescent="0.3">
      <c r="A200" s="278"/>
      <c r="B200" s="302"/>
      <c r="C200" s="85" t="s">
        <v>174</v>
      </c>
      <c r="D200" s="149">
        <v>0</v>
      </c>
      <c r="E200" s="149">
        <v>0</v>
      </c>
      <c r="F200" s="149">
        <v>0</v>
      </c>
      <c r="G200" s="149">
        <v>0</v>
      </c>
      <c r="H200" s="149">
        <v>0</v>
      </c>
      <c r="I200" s="149">
        <v>0</v>
      </c>
      <c r="J200" s="151">
        <f t="shared" ref="J200:J208" si="51">SUM(D200:I200)</f>
        <v>0</v>
      </c>
      <c r="K200" s="195"/>
      <c r="L200" s="196"/>
    </row>
    <row r="201" spans="1:12" s="197" customFormat="1" ht="19.2" customHeight="1" x14ac:dyDescent="0.3">
      <c r="A201" s="278"/>
      <c r="B201" s="302"/>
      <c r="C201" s="85" t="s">
        <v>175</v>
      </c>
      <c r="D201" s="149">
        <v>0</v>
      </c>
      <c r="E201" s="149">
        <v>0</v>
      </c>
      <c r="F201" s="149">
        <v>0</v>
      </c>
      <c r="G201" s="149">
        <v>0</v>
      </c>
      <c r="H201" s="149">
        <v>0</v>
      </c>
      <c r="I201" s="149">
        <v>0</v>
      </c>
      <c r="J201" s="151">
        <f t="shared" si="51"/>
        <v>0</v>
      </c>
      <c r="K201" s="195"/>
      <c r="L201" s="196"/>
    </row>
    <row r="202" spans="1:12" s="197" customFormat="1" ht="19.95" customHeight="1" x14ac:dyDescent="0.3">
      <c r="A202" s="278"/>
      <c r="B202" s="302"/>
      <c r="C202" s="85" t="s">
        <v>176</v>
      </c>
      <c r="D202" s="149">
        <v>0</v>
      </c>
      <c r="E202" s="149">
        <v>0</v>
      </c>
      <c r="F202" s="149">
        <v>5</v>
      </c>
      <c r="G202" s="149">
        <v>0</v>
      </c>
      <c r="H202" s="149">
        <v>0</v>
      </c>
      <c r="I202" s="149">
        <v>0</v>
      </c>
      <c r="J202" s="151">
        <f t="shared" si="51"/>
        <v>5</v>
      </c>
      <c r="K202" s="195"/>
      <c r="L202" s="196"/>
    </row>
    <row r="203" spans="1:12" s="197" customFormat="1" ht="18.600000000000001" customHeight="1" x14ac:dyDescent="0.3">
      <c r="A203" s="279"/>
      <c r="B203" s="302"/>
      <c r="C203" s="85" t="s">
        <v>177</v>
      </c>
      <c r="D203" s="149">
        <v>0</v>
      </c>
      <c r="E203" s="149">
        <v>0</v>
      </c>
      <c r="F203" s="149">
        <v>0</v>
      </c>
      <c r="G203" s="149">
        <v>0</v>
      </c>
      <c r="H203" s="149">
        <v>0</v>
      </c>
      <c r="I203" s="149">
        <v>0</v>
      </c>
      <c r="J203" s="151">
        <f t="shared" si="51"/>
        <v>0</v>
      </c>
      <c r="K203" s="195"/>
      <c r="L203" s="196"/>
    </row>
    <row r="204" spans="1:12" ht="15.6" customHeight="1" x14ac:dyDescent="0.3">
      <c r="A204" s="299" t="s">
        <v>21</v>
      </c>
      <c r="B204" s="287" t="s">
        <v>108</v>
      </c>
      <c r="C204" s="80" t="s">
        <v>173</v>
      </c>
      <c r="D204" s="148">
        <f t="shared" ref="D204:I204" si="52">D205+D206+D207+D208</f>
        <v>8964.76</v>
      </c>
      <c r="E204" s="148">
        <f t="shared" si="52"/>
        <v>8481.6</v>
      </c>
      <c r="F204" s="148">
        <f t="shared" si="52"/>
        <v>8363.5149999999994</v>
      </c>
      <c r="G204" s="148">
        <f>G205+G206+G207+G208</f>
        <v>10622.45925</v>
      </c>
      <c r="H204" s="148">
        <f t="shared" si="52"/>
        <v>8956.6999999999989</v>
      </c>
      <c r="I204" s="148">
        <f t="shared" si="52"/>
        <v>8956.6999999999989</v>
      </c>
      <c r="J204" s="148">
        <f t="shared" si="51"/>
        <v>54345.734249999994</v>
      </c>
      <c r="K204" s="81"/>
      <c r="L204" s="73"/>
    </row>
    <row r="205" spans="1:12" ht="19.5" customHeight="1" x14ac:dyDescent="0.3">
      <c r="A205" s="300"/>
      <c r="B205" s="288"/>
      <c r="C205" s="82" t="s">
        <v>174</v>
      </c>
      <c r="D205" s="148">
        <f t="shared" ref="D205:I205" si="53">D210+D225</f>
        <v>0</v>
      </c>
      <c r="E205" s="148">
        <f t="shared" si="53"/>
        <v>0</v>
      </c>
      <c r="F205" s="148">
        <f t="shared" si="53"/>
        <v>0</v>
      </c>
      <c r="G205" s="148">
        <f t="shared" si="53"/>
        <v>0</v>
      </c>
      <c r="H205" s="148">
        <f t="shared" si="53"/>
        <v>0</v>
      </c>
      <c r="I205" s="148">
        <f t="shared" si="53"/>
        <v>0</v>
      </c>
      <c r="J205" s="148">
        <f t="shared" si="51"/>
        <v>0</v>
      </c>
      <c r="K205" s="81"/>
      <c r="L205" s="73"/>
    </row>
    <row r="206" spans="1:12" ht="19.5" customHeight="1" x14ac:dyDescent="0.3">
      <c r="A206" s="300"/>
      <c r="B206" s="288"/>
      <c r="C206" s="82" t="s">
        <v>175</v>
      </c>
      <c r="D206" s="148">
        <f t="shared" ref="D206:I206" si="54">D216+D211</f>
        <v>8964.76</v>
      </c>
      <c r="E206" s="148">
        <f t="shared" si="54"/>
        <v>8481.6</v>
      </c>
      <c r="F206" s="148">
        <f>F216+F211</f>
        <v>8290.5849999999991</v>
      </c>
      <c r="G206" s="148">
        <f>G216+G211</f>
        <v>9717.5192499999994</v>
      </c>
      <c r="H206" s="148">
        <f t="shared" si="54"/>
        <v>8956.6999999999989</v>
      </c>
      <c r="I206" s="148">
        <f t="shared" si="54"/>
        <v>8956.6999999999989</v>
      </c>
      <c r="J206" s="148">
        <f t="shared" si="51"/>
        <v>53367.864249999991</v>
      </c>
      <c r="K206" s="81"/>
      <c r="L206" s="73"/>
    </row>
    <row r="207" spans="1:12" ht="20.25" customHeight="1" x14ac:dyDescent="0.3">
      <c r="A207" s="300"/>
      <c r="B207" s="288"/>
      <c r="C207" s="80" t="s">
        <v>176</v>
      </c>
      <c r="D207" s="148">
        <f>D212+D227</f>
        <v>0</v>
      </c>
      <c r="E207" s="148">
        <v>0</v>
      </c>
      <c r="F207" s="148">
        <f>F212+F217+F222</f>
        <v>72.930000000000007</v>
      </c>
      <c r="G207" s="148">
        <f>G212+G217+G222</f>
        <v>904.94</v>
      </c>
      <c r="H207" s="148">
        <f>H212+H217+H222</f>
        <v>0</v>
      </c>
      <c r="I207" s="148">
        <f>I212+I217+I222</f>
        <v>0</v>
      </c>
      <c r="J207" s="148">
        <f t="shared" si="51"/>
        <v>977.87000000000012</v>
      </c>
      <c r="K207" s="81"/>
      <c r="L207" s="73"/>
    </row>
    <row r="208" spans="1:12" ht="24" customHeight="1" x14ac:dyDescent="0.3">
      <c r="A208" s="301"/>
      <c r="B208" s="289"/>
      <c r="C208" s="80" t="s">
        <v>177</v>
      </c>
      <c r="D208" s="148">
        <f t="shared" ref="D208:I208" si="55">D213+D218</f>
        <v>0</v>
      </c>
      <c r="E208" s="148">
        <f t="shared" si="55"/>
        <v>0</v>
      </c>
      <c r="F208" s="148">
        <f t="shared" si="55"/>
        <v>0</v>
      </c>
      <c r="G208" s="148">
        <f t="shared" si="55"/>
        <v>0</v>
      </c>
      <c r="H208" s="148">
        <f t="shared" si="55"/>
        <v>0</v>
      </c>
      <c r="I208" s="148">
        <f t="shared" si="55"/>
        <v>0</v>
      </c>
      <c r="J208" s="148">
        <f t="shared" si="51"/>
        <v>0</v>
      </c>
      <c r="K208" s="81"/>
      <c r="L208" s="73"/>
    </row>
    <row r="209" spans="1:12" ht="23.25" customHeight="1" x14ac:dyDescent="0.3">
      <c r="A209" s="270" t="s">
        <v>112</v>
      </c>
      <c r="B209" s="277" t="s">
        <v>113</v>
      </c>
      <c r="C209" s="83" t="s">
        <v>173</v>
      </c>
      <c r="D209" s="149">
        <f t="shared" ref="D209:J209" si="56">D210+D211+D212+D213</f>
        <v>8964.76</v>
      </c>
      <c r="E209" s="149">
        <f t="shared" si="56"/>
        <v>6226.25</v>
      </c>
      <c r="F209" s="149">
        <f>F210+F211+F212+F213</f>
        <v>6443.2849999999999</v>
      </c>
      <c r="G209" s="149">
        <f t="shared" si="56"/>
        <v>7109.4</v>
      </c>
      <c r="H209" s="149">
        <f t="shared" si="56"/>
        <v>7109.4</v>
      </c>
      <c r="I209" s="149">
        <f>I210+I211+I212+I213</f>
        <v>7109.4</v>
      </c>
      <c r="J209" s="149">
        <f t="shared" si="56"/>
        <v>42962.495000000003</v>
      </c>
      <c r="K209" s="84"/>
      <c r="L209" s="73"/>
    </row>
    <row r="210" spans="1:12" ht="21" customHeight="1" x14ac:dyDescent="0.3">
      <c r="A210" s="270"/>
      <c r="B210" s="277"/>
      <c r="C210" s="85" t="s">
        <v>174</v>
      </c>
      <c r="D210" s="149">
        <v>0</v>
      </c>
      <c r="E210" s="149">
        <v>0</v>
      </c>
      <c r="F210" s="151">
        <v>0</v>
      </c>
      <c r="G210" s="151">
        <v>0</v>
      </c>
      <c r="H210" s="151">
        <v>0</v>
      </c>
      <c r="I210" s="151">
        <v>0</v>
      </c>
      <c r="J210" s="151">
        <f>SUM(D210:I210)</f>
        <v>0</v>
      </c>
      <c r="K210" s="84"/>
      <c r="L210" s="73"/>
    </row>
    <row r="211" spans="1:12" ht="22.5" customHeight="1" x14ac:dyDescent="0.3">
      <c r="A211" s="270"/>
      <c r="B211" s="277"/>
      <c r="C211" s="85" t="s">
        <v>175</v>
      </c>
      <c r="D211" s="149">
        <v>8964.76</v>
      </c>
      <c r="E211" s="149">
        <v>6226.25</v>
      </c>
      <c r="F211" s="149">
        <f>6117.45+215+110.835</f>
        <v>6443.2849999999999</v>
      </c>
      <c r="G211" s="149">
        <v>7109.4</v>
      </c>
      <c r="H211" s="149">
        <v>7109.4</v>
      </c>
      <c r="I211" s="149">
        <v>7109.4</v>
      </c>
      <c r="J211" s="151">
        <f>SUM(D211:I211)</f>
        <v>42962.495000000003</v>
      </c>
      <c r="K211" s="84"/>
      <c r="L211" s="73"/>
    </row>
    <row r="212" spans="1:12" ht="15.6" x14ac:dyDescent="0.3">
      <c r="A212" s="270"/>
      <c r="B212" s="277"/>
      <c r="C212" s="83" t="s">
        <v>176</v>
      </c>
      <c r="D212" s="149">
        <v>0</v>
      </c>
      <c r="E212" s="149">
        <v>0</v>
      </c>
      <c r="F212" s="151">
        <v>0</v>
      </c>
      <c r="G212" s="151">
        <v>0</v>
      </c>
      <c r="H212" s="151">
        <v>0</v>
      </c>
      <c r="I212" s="151">
        <v>0</v>
      </c>
      <c r="J212" s="151">
        <f>SUM(D212:I212)</f>
        <v>0</v>
      </c>
      <c r="K212" s="84"/>
      <c r="L212" s="73"/>
    </row>
    <row r="213" spans="1:12" ht="15.6" x14ac:dyDescent="0.3">
      <c r="A213" s="270"/>
      <c r="B213" s="277"/>
      <c r="C213" s="83" t="s">
        <v>177</v>
      </c>
      <c r="D213" s="149">
        <v>0</v>
      </c>
      <c r="E213" s="149">
        <v>0</v>
      </c>
      <c r="F213" s="151">
        <v>0</v>
      </c>
      <c r="G213" s="151">
        <v>0</v>
      </c>
      <c r="H213" s="151">
        <v>0</v>
      </c>
      <c r="I213" s="151">
        <v>0</v>
      </c>
      <c r="J213" s="151">
        <f>SUM(D213:I213)</f>
        <v>0</v>
      </c>
      <c r="K213" s="84"/>
      <c r="L213" s="73"/>
    </row>
    <row r="214" spans="1:12" ht="20.25" customHeight="1" x14ac:dyDescent="0.3">
      <c r="A214" s="270" t="s">
        <v>115</v>
      </c>
      <c r="B214" s="277" t="s">
        <v>116</v>
      </c>
      <c r="C214" s="83" t="s">
        <v>173</v>
      </c>
      <c r="D214" s="149">
        <f t="shared" ref="D214:J214" si="57">D215+D216+D217+D218</f>
        <v>0</v>
      </c>
      <c r="E214" s="149">
        <f t="shared" si="57"/>
        <v>2255.3500000000004</v>
      </c>
      <c r="F214" s="149">
        <f t="shared" si="57"/>
        <v>1847.3</v>
      </c>
      <c r="G214" s="149">
        <f t="shared" si="57"/>
        <v>2608.1192500000002</v>
      </c>
      <c r="H214" s="149">
        <f t="shared" si="57"/>
        <v>1847.3</v>
      </c>
      <c r="I214" s="149">
        <f>I215+I216+I217+I218</f>
        <v>1847.3</v>
      </c>
      <c r="J214" s="149">
        <f t="shared" si="57"/>
        <v>10405.36925</v>
      </c>
      <c r="K214" s="84"/>
      <c r="L214" s="73"/>
    </row>
    <row r="215" spans="1:12" ht="14.25" customHeight="1" x14ac:dyDescent="0.3">
      <c r="A215" s="270"/>
      <c r="B215" s="277"/>
      <c r="C215" s="85" t="s">
        <v>174</v>
      </c>
      <c r="D215" s="149">
        <v>0</v>
      </c>
      <c r="E215" s="149">
        <v>0</v>
      </c>
      <c r="F215" s="151">
        <v>0</v>
      </c>
      <c r="G215" s="151">
        <v>0</v>
      </c>
      <c r="H215" s="151">
        <v>0</v>
      </c>
      <c r="I215" s="151">
        <v>0</v>
      </c>
      <c r="J215" s="151">
        <f>SUM(D215:I215)</f>
        <v>0</v>
      </c>
      <c r="K215" s="84"/>
      <c r="L215" s="73"/>
    </row>
    <row r="216" spans="1:12" ht="20.25" customHeight="1" x14ac:dyDescent="0.3">
      <c r="A216" s="270"/>
      <c r="B216" s="277"/>
      <c r="C216" s="85" t="s">
        <v>175</v>
      </c>
      <c r="D216" s="149">
        <v>0</v>
      </c>
      <c r="E216" s="149">
        <f>1689.72+830.83-265.2</f>
        <v>2255.3500000000004</v>
      </c>
      <c r="F216" s="149">
        <v>1847.3</v>
      </c>
      <c r="G216" s="149">
        <v>2608.1192500000002</v>
      </c>
      <c r="H216" s="149">
        <v>1847.3</v>
      </c>
      <c r="I216" s="149">
        <v>1847.3</v>
      </c>
      <c r="J216" s="151">
        <f>SUM(D216:I216)</f>
        <v>10405.36925</v>
      </c>
      <c r="K216" s="84"/>
      <c r="L216" s="73"/>
    </row>
    <row r="217" spans="1:12" ht="15.6" x14ac:dyDescent="0.3">
      <c r="A217" s="270"/>
      <c r="B217" s="277"/>
      <c r="C217" s="83" t="s">
        <v>176</v>
      </c>
      <c r="D217" s="149">
        <v>0</v>
      </c>
      <c r="E217" s="149">
        <v>0</v>
      </c>
      <c r="F217" s="151">
        <v>0</v>
      </c>
      <c r="G217" s="151">
        <v>0</v>
      </c>
      <c r="H217" s="151">
        <v>0</v>
      </c>
      <c r="I217" s="151">
        <v>0</v>
      </c>
      <c r="J217" s="151">
        <f>SUM(D217:I217)</f>
        <v>0</v>
      </c>
      <c r="K217" s="84"/>
      <c r="L217" s="73"/>
    </row>
    <row r="218" spans="1:12" ht="15.75" customHeight="1" x14ac:dyDescent="0.3">
      <c r="A218" s="270"/>
      <c r="B218" s="277"/>
      <c r="C218" s="83" t="s">
        <v>177</v>
      </c>
      <c r="D218" s="149">
        <v>0</v>
      </c>
      <c r="E218" s="149">
        <v>0</v>
      </c>
      <c r="F218" s="151">
        <v>0</v>
      </c>
      <c r="G218" s="151">
        <v>0</v>
      </c>
      <c r="H218" s="151">
        <v>0</v>
      </c>
      <c r="I218" s="151">
        <v>0</v>
      </c>
      <c r="J218" s="151">
        <f>SUM(D218:I218)</f>
        <v>0</v>
      </c>
      <c r="K218" s="84"/>
      <c r="L218" s="73"/>
    </row>
    <row r="219" spans="1:12" ht="20.25" customHeight="1" x14ac:dyDescent="0.3">
      <c r="A219" s="270" t="s">
        <v>321</v>
      </c>
      <c r="B219" s="277" t="s">
        <v>322</v>
      </c>
      <c r="C219" s="83" t="s">
        <v>173</v>
      </c>
      <c r="D219" s="149">
        <f t="shared" ref="D219:J219" si="58">D220+D221+D222+D223</f>
        <v>0</v>
      </c>
      <c r="E219" s="149">
        <f t="shared" si="58"/>
        <v>0</v>
      </c>
      <c r="F219" s="149">
        <f t="shared" si="58"/>
        <v>72.930000000000007</v>
      </c>
      <c r="G219" s="149">
        <f t="shared" si="58"/>
        <v>904.94</v>
      </c>
      <c r="H219" s="149">
        <f t="shared" si="58"/>
        <v>0</v>
      </c>
      <c r="I219" s="149">
        <f t="shared" si="58"/>
        <v>0</v>
      </c>
      <c r="J219" s="149">
        <f t="shared" si="58"/>
        <v>977.87000000000012</v>
      </c>
      <c r="K219" s="84"/>
      <c r="L219" s="73"/>
    </row>
    <row r="220" spans="1:12" ht="14.25" customHeight="1" x14ac:dyDescent="0.3">
      <c r="A220" s="270"/>
      <c r="B220" s="277"/>
      <c r="C220" s="85" t="s">
        <v>174</v>
      </c>
      <c r="D220" s="149">
        <v>0</v>
      </c>
      <c r="E220" s="149">
        <v>0</v>
      </c>
      <c r="F220" s="151">
        <v>0</v>
      </c>
      <c r="G220" s="151">
        <v>0</v>
      </c>
      <c r="H220" s="151">
        <v>0</v>
      </c>
      <c r="I220" s="151">
        <v>0</v>
      </c>
      <c r="J220" s="151">
        <f>SUM(D220:I220)</f>
        <v>0</v>
      </c>
      <c r="K220" s="84"/>
      <c r="L220" s="73"/>
    </row>
    <row r="221" spans="1:12" ht="20.25" customHeight="1" x14ac:dyDescent="0.3">
      <c r="A221" s="270"/>
      <c r="B221" s="277"/>
      <c r="C221" s="85" t="s">
        <v>175</v>
      </c>
      <c r="D221" s="149">
        <v>0</v>
      </c>
      <c r="E221" s="149">
        <v>0</v>
      </c>
      <c r="F221" s="149">
        <v>0</v>
      </c>
      <c r="G221" s="149">
        <v>0</v>
      </c>
      <c r="H221" s="149">
        <v>0</v>
      </c>
      <c r="I221" s="149">
        <v>0</v>
      </c>
      <c r="J221" s="151">
        <f>SUM(D221:I221)</f>
        <v>0</v>
      </c>
      <c r="K221" s="84"/>
      <c r="L221" s="73"/>
    </row>
    <row r="222" spans="1:12" ht="15.6" x14ac:dyDescent="0.3">
      <c r="A222" s="270"/>
      <c r="B222" s="277"/>
      <c r="C222" s="83" t="s">
        <v>176</v>
      </c>
      <c r="D222" s="149">
        <v>0</v>
      </c>
      <c r="E222" s="149">
        <v>0</v>
      </c>
      <c r="F222" s="149">
        <v>72.930000000000007</v>
      </c>
      <c r="G222" s="151">
        <v>904.94</v>
      </c>
      <c r="H222" s="151">
        <v>0</v>
      </c>
      <c r="I222" s="151">
        <v>0</v>
      </c>
      <c r="J222" s="151">
        <f>SUM(D222:I222)</f>
        <v>977.87000000000012</v>
      </c>
      <c r="K222" s="84"/>
      <c r="L222" s="73"/>
    </row>
    <row r="223" spans="1:12" ht="15.75" customHeight="1" x14ac:dyDescent="0.3">
      <c r="A223" s="270"/>
      <c r="B223" s="277"/>
      <c r="C223" s="83" t="s">
        <v>177</v>
      </c>
      <c r="D223" s="149">
        <v>0</v>
      </c>
      <c r="E223" s="149">
        <v>0</v>
      </c>
      <c r="F223" s="151">
        <v>0</v>
      </c>
      <c r="G223" s="151">
        <v>0</v>
      </c>
      <c r="H223" s="151">
        <v>0</v>
      </c>
      <c r="I223" s="151">
        <v>0</v>
      </c>
      <c r="J223" s="151">
        <f>SUM(D223:I223)</f>
        <v>0</v>
      </c>
      <c r="K223" s="84"/>
      <c r="L223" s="73"/>
    </row>
    <row r="224" spans="1:12" ht="15.75" customHeight="1" x14ac:dyDescent="0.3">
      <c r="A224" s="282" t="s">
        <v>190</v>
      </c>
      <c r="B224" s="304" t="s">
        <v>351</v>
      </c>
      <c r="C224" s="80" t="s">
        <v>173</v>
      </c>
      <c r="D224" s="148">
        <f t="shared" ref="D224:J224" si="59">D225+D226+D227+D228</f>
        <v>0</v>
      </c>
      <c r="E224" s="148">
        <f t="shared" si="59"/>
        <v>3010.1099999999997</v>
      </c>
      <c r="F224" s="148">
        <f t="shared" si="59"/>
        <v>0</v>
      </c>
      <c r="G224" s="148">
        <f t="shared" si="59"/>
        <v>0</v>
      </c>
      <c r="H224" s="148">
        <f t="shared" si="59"/>
        <v>2992.9619299999999</v>
      </c>
      <c r="I224" s="148">
        <f t="shared" si="59"/>
        <v>0</v>
      </c>
      <c r="J224" s="148">
        <f t="shared" si="59"/>
        <v>6003.0719300000001</v>
      </c>
      <c r="K224" s="81"/>
      <c r="L224" s="73"/>
    </row>
    <row r="225" spans="1:12" ht="15.75" customHeight="1" x14ac:dyDescent="0.3">
      <c r="A225" s="278"/>
      <c r="B225" s="305"/>
      <c r="C225" s="82" t="s">
        <v>174</v>
      </c>
      <c r="D225" s="148">
        <v>0</v>
      </c>
      <c r="E225" s="148">
        <v>0</v>
      </c>
      <c r="F225" s="148">
        <f>F230</f>
        <v>0</v>
      </c>
      <c r="G225" s="148">
        <v>0</v>
      </c>
      <c r="H225" s="148">
        <v>0</v>
      </c>
      <c r="I225" s="148">
        <v>0</v>
      </c>
      <c r="J225" s="148">
        <v>0</v>
      </c>
      <c r="K225" s="81"/>
      <c r="L225" s="73"/>
    </row>
    <row r="226" spans="1:12" ht="15.75" customHeight="1" x14ac:dyDescent="0.3">
      <c r="A226" s="278"/>
      <c r="B226" s="305"/>
      <c r="C226" s="82" t="s">
        <v>175</v>
      </c>
      <c r="D226" s="148">
        <v>0</v>
      </c>
      <c r="E226" s="152">
        <f>E231</f>
        <v>2383.14</v>
      </c>
      <c r="F226" s="153">
        <f>F231</f>
        <v>0</v>
      </c>
      <c r="G226" s="153">
        <f>G231</f>
        <v>0</v>
      </c>
      <c r="H226" s="153">
        <f>H231</f>
        <v>2869.4870999999998</v>
      </c>
      <c r="I226" s="153">
        <f>I231</f>
        <v>0</v>
      </c>
      <c r="J226" s="153">
        <f>SUM(D226:I226)</f>
        <v>5252.6270999999997</v>
      </c>
      <c r="K226" s="86"/>
      <c r="L226" s="73"/>
    </row>
    <row r="227" spans="1:12" ht="15.75" customHeight="1" x14ac:dyDescent="0.3">
      <c r="A227" s="278"/>
      <c r="B227" s="305"/>
      <c r="C227" s="80" t="s">
        <v>176</v>
      </c>
      <c r="D227" s="148">
        <v>0</v>
      </c>
      <c r="E227" s="148">
        <f>E232</f>
        <v>626.97</v>
      </c>
      <c r="F227" s="153">
        <f>F232</f>
        <v>0</v>
      </c>
      <c r="G227" s="153">
        <f>G232</f>
        <v>0</v>
      </c>
      <c r="H227" s="153">
        <f>H232</f>
        <v>123.47483</v>
      </c>
      <c r="I227" s="153">
        <v>0</v>
      </c>
      <c r="J227" s="153">
        <f>SUM(D227:I227)</f>
        <v>750.44483000000002</v>
      </c>
      <c r="K227" s="81"/>
      <c r="L227" s="73"/>
    </row>
    <row r="228" spans="1:12" ht="15.75" customHeight="1" x14ac:dyDescent="0.3">
      <c r="A228" s="279"/>
      <c r="B228" s="306"/>
      <c r="C228" s="80" t="s">
        <v>177</v>
      </c>
      <c r="D228" s="148">
        <v>0</v>
      </c>
      <c r="E228" s="148">
        <v>0</v>
      </c>
      <c r="F228" s="153">
        <f>F233</f>
        <v>0</v>
      </c>
      <c r="G228" s="153">
        <v>0</v>
      </c>
      <c r="H228" s="153">
        <v>0</v>
      </c>
      <c r="I228" s="153">
        <v>0</v>
      </c>
      <c r="J228" s="153">
        <f>SUM(D228:I228)</f>
        <v>0</v>
      </c>
      <c r="K228" s="81"/>
      <c r="L228" s="73"/>
    </row>
    <row r="229" spans="1:12" ht="15.75" customHeight="1" x14ac:dyDescent="0.3">
      <c r="A229" s="282" t="s">
        <v>191</v>
      </c>
      <c r="B229" s="284" t="s">
        <v>192</v>
      </c>
      <c r="C229" s="80" t="s">
        <v>173</v>
      </c>
      <c r="D229" s="148">
        <f t="shared" ref="D229:J229" si="60">D230+D231+D232+D233</f>
        <v>0</v>
      </c>
      <c r="E229" s="148">
        <f t="shared" si="60"/>
        <v>3010.1099999999997</v>
      </c>
      <c r="F229" s="148">
        <f t="shared" si="60"/>
        <v>0</v>
      </c>
      <c r="G229" s="148">
        <f t="shared" si="60"/>
        <v>0</v>
      </c>
      <c r="H229" s="148">
        <f t="shared" si="60"/>
        <v>2992.9619299999999</v>
      </c>
      <c r="I229" s="148">
        <f>I230+I231+I232+I233</f>
        <v>0</v>
      </c>
      <c r="J229" s="148">
        <f t="shared" si="60"/>
        <v>6003.0719300000001</v>
      </c>
      <c r="K229" s="81"/>
      <c r="L229" s="73"/>
    </row>
    <row r="230" spans="1:12" ht="15.75" customHeight="1" x14ac:dyDescent="0.3">
      <c r="A230" s="278"/>
      <c r="B230" s="285"/>
      <c r="C230" s="85" t="s">
        <v>174</v>
      </c>
      <c r="D230" s="149">
        <v>0</v>
      </c>
      <c r="E230" s="149">
        <v>0</v>
      </c>
      <c r="F230" s="151">
        <v>0</v>
      </c>
      <c r="G230" s="151">
        <v>0</v>
      </c>
      <c r="H230" s="151">
        <v>0</v>
      </c>
      <c r="I230" s="151">
        <v>0</v>
      </c>
      <c r="J230" s="151">
        <f>SUM(D230:I230)</f>
        <v>0</v>
      </c>
      <c r="K230" s="84"/>
      <c r="L230" s="73"/>
    </row>
    <row r="231" spans="1:12" ht="15.75" customHeight="1" x14ac:dyDescent="0.3">
      <c r="A231" s="278"/>
      <c r="B231" s="285"/>
      <c r="C231" s="85" t="s">
        <v>175</v>
      </c>
      <c r="D231" s="149">
        <v>0</v>
      </c>
      <c r="E231" s="154">
        <v>2383.14</v>
      </c>
      <c r="F231" s="151">
        <v>0</v>
      </c>
      <c r="G231" s="151">
        <v>0</v>
      </c>
      <c r="H231" s="151">
        <v>2869.4870999999998</v>
      </c>
      <c r="I231" s="151">
        <v>0</v>
      </c>
      <c r="J231" s="151">
        <f>SUM(D231:I231)</f>
        <v>5252.6270999999997</v>
      </c>
      <c r="K231" s="87"/>
      <c r="L231" s="73"/>
    </row>
    <row r="232" spans="1:12" ht="15.75" customHeight="1" x14ac:dyDescent="0.3">
      <c r="A232" s="278"/>
      <c r="B232" s="285"/>
      <c r="C232" s="83" t="s">
        <v>176</v>
      </c>
      <c r="D232" s="149">
        <v>0</v>
      </c>
      <c r="E232" s="148">
        <f>122.1+661.87-157</f>
        <v>626.97</v>
      </c>
      <c r="F232" s="151">
        <v>0</v>
      </c>
      <c r="G232" s="151">
        <v>0</v>
      </c>
      <c r="H232" s="151">
        <f>88.74695+34.72788</f>
        <v>123.47483</v>
      </c>
      <c r="I232" s="151">
        <v>0</v>
      </c>
      <c r="J232" s="151">
        <f>SUM(D232:I232)</f>
        <v>750.44483000000002</v>
      </c>
      <c r="K232" s="84"/>
      <c r="L232" s="73"/>
    </row>
    <row r="233" spans="1:12" ht="15.75" customHeight="1" x14ac:dyDescent="0.3">
      <c r="A233" s="279"/>
      <c r="B233" s="286"/>
      <c r="C233" s="83" t="s">
        <v>177</v>
      </c>
      <c r="D233" s="149">
        <v>0</v>
      </c>
      <c r="E233" s="149">
        <v>0</v>
      </c>
      <c r="F233" s="151">
        <v>0</v>
      </c>
      <c r="G233" s="151">
        <v>0</v>
      </c>
      <c r="H233" s="151">
        <v>0</v>
      </c>
      <c r="I233" s="151">
        <v>0</v>
      </c>
      <c r="J233" s="151">
        <f>SUM(D233:I233)</f>
        <v>0</v>
      </c>
      <c r="K233" s="84"/>
      <c r="L233" s="73"/>
    </row>
    <row r="234" spans="1:12" ht="15.75" customHeight="1" x14ac:dyDescent="0.3">
      <c r="A234" s="282" t="s">
        <v>340</v>
      </c>
      <c r="B234" s="304" t="s">
        <v>342</v>
      </c>
      <c r="C234" s="80" t="s">
        <v>173</v>
      </c>
      <c r="D234" s="148">
        <f t="shared" ref="D234:I234" si="61">D235+D236+D237+D238</f>
        <v>0</v>
      </c>
      <c r="E234" s="148">
        <f t="shared" si="61"/>
        <v>0</v>
      </c>
      <c r="F234" s="148">
        <f t="shared" si="61"/>
        <v>0</v>
      </c>
      <c r="G234" s="148">
        <f t="shared" si="61"/>
        <v>989.4248</v>
      </c>
      <c r="H234" s="148">
        <f t="shared" si="61"/>
        <v>4081.3773000000001</v>
      </c>
      <c r="I234" s="148">
        <f t="shared" si="61"/>
        <v>4081.3773000000001</v>
      </c>
      <c r="J234" s="148">
        <f>J235+J236+J237+J238</f>
        <v>9152.1794000000009</v>
      </c>
      <c r="K234" s="81"/>
      <c r="L234" s="73"/>
    </row>
    <row r="235" spans="1:12" ht="15.75" customHeight="1" x14ac:dyDescent="0.3">
      <c r="A235" s="278"/>
      <c r="B235" s="305"/>
      <c r="C235" s="82" t="s">
        <v>174</v>
      </c>
      <c r="D235" s="148">
        <v>0</v>
      </c>
      <c r="E235" s="148">
        <v>0</v>
      </c>
      <c r="F235" s="148">
        <f>F240</f>
        <v>0</v>
      </c>
      <c r="G235" s="148">
        <v>0</v>
      </c>
      <c r="H235" s="148">
        <v>0</v>
      </c>
      <c r="I235" s="148">
        <v>0</v>
      </c>
      <c r="J235" s="148">
        <v>0</v>
      </c>
      <c r="K235" s="81"/>
      <c r="L235" s="73"/>
    </row>
    <row r="236" spans="1:12" ht="15.75" customHeight="1" x14ac:dyDescent="0.3">
      <c r="A236" s="278"/>
      <c r="B236" s="305"/>
      <c r="C236" s="82" t="s">
        <v>175</v>
      </c>
      <c r="D236" s="148">
        <v>0</v>
      </c>
      <c r="E236" s="152">
        <f>E241</f>
        <v>0</v>
      </c>
      <c r="F236" s="153">
        <f>F241</f>
        <v>0</v>
      </c>
      <c r="G236" s="153">
        <f>G241</f>
        <v>989.4248</v>
      </c>
      <c r="H236" s="153">
        <f>H241</f>
        <v>4081.3773000000001</v>
      </c>
      <c r="I236" s="153">
        <f>I241</f>
        <v>4081.3773000000001</v>
      </c>
      <c r="J236" s="153">
        <f>SUM(D236:I236)</f>
        <v>9152.1794000000009</v>
      </c>
      <c r="K236" s="86"/>
      <c r="L236" s="73"/>
    </row>
    <row r="237" spans="1:12" ht="15.75" customHeight="1" x14ac:dyDescent="0.3">
      <c r="A237" s="278"/>
      <c r="B237" s="305"/>
      <c r="C237" s="80" t="s">
        <v>176</v>
      </c>
      <c r="D237" s="148">
        <v>0</v>
      </c>
      <c r="E237" s="148">
        <f>E242</f>
        <v>0</v>
      </c>
      <c r="F237" s="153">
        <f>F242</f>
        <v>0</v>
      </c>
      <c r="G237" s="153">
        <f>G242</f>
        <v>0</v>
      </c>
      <c r="H237" s="153">
        <v>0</v>
      </c>
      <c r="I237" s="153">
        <v>0</v>
      </c>
      <c r="J237" s="153">
        <f>SUM(D237:I237)</f>
        <v>0</v>
      </c>
      <c r="K237" s="81"/>
      <c r="L237" s="73"/>
    </row>
    <row r="238" spans="1:12" ht="15.75" customHeight="1" x14ac:dyDescent="0.3">
      <c r="A238" s="279"/>
      <c r="B238" s="306"/>
      <c r="C238" s="80" t="s">
        <v>177</v>
      </c>
      <c r="D238" s="148">
        <v>0</v>
      </c>
      <c r="E238" s="148">
        <v>0</v>
      </c>
      <c r="F238" s="153">
        <f>F243</f>
        <v>0</v>
      </c>
      <c r="G238" s="153">
        <v>0</v>
      </c>
      <c r="H238" s="153">
        <v>0</v>
      </c>
      <c r="I238" s="153">
        <v>0</v>
      </c>
      <c r="J238" s="153">
        <f>SUM(D238:I238)</f>
        <v>0</v>
      </c>
      <c r="K238" s="81"/>
      <c r="L238" s="73"/>
    </row>
    <row r="239" spans="1:12" ht="15.75" customHeight="1" x14ac:dyDescent="0.3">
      <c r="A239" s="282" t="s">
        <v>341</v>
      </c>
      <c r="B239" s="284" t="s">
        <v>343</v>
      </c>
      <c r="C239" s="80" t="s">
        <v>173</v>
      </c>
      <c r="D239" s="148">
        <f t="shared" ref="D239:J239" si="62">D240+D241+D242+D243</f>
        <v>0</v>
      </c>
      <c r="E239" s="148">
        <f t="shared" si="62"/>
        <v>0</v>
      </c>
      <c r="F239" s="148">
        <f t="shared" si="62"/>
        <v>0</v>
      </c>
      <c r="G239" s="148">
        <f t="shared" si="62"/>
        <v>989.4248</v>
      </c>
      <c r="H239" s="148">
        <f t="shared" si="62"/>
        <v>4081.3773000000001</v>
      </c>
      <c r="I239" s="148">
        <f t="shared" si="62"/>
        <v>4081.3773000000001</v>
      </c>
      <c r="J239" s="148">
        <f t="shared" si="62"/>
        <v>9152.1794000000009</v>
      </c>
      <c r="K239" s="81"/>
      <c r="L239" s="73"/>
    </row>
    <row r="240" spans="1:12" ht="15.75" customHeight="1" x14ac:dyDescent="0.3">
      <c r="A240" s="278"/>
      <c r="B240" s="285"/>
      <c r="C240" s="85" t="s">
        <v>174</v>
      </c>
      <c r="D240" s="149">
        <v>0</v>
      </c>
      <c r="E240" s="149">
        <v>0</v>
      </c>
      <c r="F240" s="151">
        <v>0</v>
      </c>
      <c r="G240" s="151">
        <v>0</v>
      </c>
      <c r="H240" s="151">
        <v>0</v>
      </c>
      <c r="I240" s="151">
        <v>0</v>
      </c>
      <c r="J240" s="151">
        <f>SUM(D240:I240)</f>
        <v>0</v>
      </c>
      <c r="K240" s="84"/>
      <c r="L240" s="73"/>
    </row>
    <row r="241" spans="1:12" ht="15.75" customHeight="1" x14ac:dyDescent="0.3">
      <c r="A241" s="278"/>
      <c r="B241" s="285"/>
      <c r="C241" s="85" t="s">
        <v>175</v>
      </c>
      <c r="D241" s="149">
        <v>0</v>
      </c>
      <c r="E241" s="154">
        <v>0</v>
      </c>
      <c r="F241" s="151">
        <v>0</v>
      </c>
      <c r="G241" s="151">
        <v>989.4248</v>
      </c>
      <c r="H241" s="151">
        <v>4081.3773000000001</v>
      </c>
      <c r="I241" s="151">
        <v>4081.3773000000001</v>
      </c>
      <c r="J241" s="151">
        <f>SUM(D241:I241)</f>
        <v>9152.1794000000009</v>
      </c>
      <c r="K241" s="87"/>
      <c r="L241" s="73"/>
    </row>
    <row r="242" spans="1:12" ht="15.75" customHeight="1" x14ac:dyDescent="0.3">
      <c r="A242" s="278"/>
      <c r="B242" s="285"/>
      <c r="C242" s="83" t="s">
        <v>176</v>
      </c>
      <c r="D242" s="149">
        <v>0</v>
      </c>
      <c r="E242" s="148">
        <v>0</v>
      </c>
      <c r="F242" s="151">
        <v>0</v>
      </c>
      <c r="G242" s="151">
        <v>0</v>
      </c>
      <c r="H242" s="151">
        <v>0</v>
      </c>
      <c r="I242" s="151">
        <v>0</v>
      </c>
      <c r="J242" s="151">
        <f>SUM(D242:I242)</f>
        <v>0</v>
      </c>
      <c r="K242" s="84"/>
      <c r="L242" s="73"/>
    </row>
    <row r="243" spans="1:12" ht="15.75" customHeight="1" x14ac:dyDescent="0.3">
      <c r="A243" s="279"/>
      <c r="B243" s="286"/>
      <c r="C243" s="83" t="s">
        <v>177</v>
      </c>
      <c r="D243" s="149">
        <v>0</v>
      </c>
      <c r="E243" s="149">
        <v>0</v>
      </c>
      <c r="F243" s="151">
        <v>0</v>
      </c>
      <c r="G243" s="151">
        <v>0</v>
      </c>
      <c r="H243" s="151">
        <v>0</v>
      </c>
      <c r="I243" s="151">
        <v>0</v>
      </c>
      <c r="J243" s="151">
        <f>SUM(D243:I243)</f>
        <v>0</v>
      </c>
      <c r="K243" s="84"/>
      <c r="L243" s="73"/>
    </row>
    <row r="244" spans="1:12" ht="21.75" customHeight="1" x14ac:dyDescent="0.3">
      <c r="A244" s="303" t="s">
        <v>118</v>
      </c>
      <c r="B244" s="268" t="s">
        <v>336</v>
      </c>
      <c r="C244" s="80" t="s">
        <v>173</v>
      </c>
      <c r="D244" s="148">
        <f>D249+D279+D319</f>
        <v>28739.599999999999</v>
      </c>
      <c r="E244" s="148">
        <f t="shared" ref="E244:J244" si="63">E249+E279+E319+E314</f>
        <v>23958.890000000003</v>
      </c>
      <c r="F244" s="148">
        <f t="shared" si="63"/>
        <v>25850.126849999997</v>
      </c>
      <c r="G244" s="148">
        <f>G249+G279+G319+G314</f>
        <v>26801.533959999997</v>
      </c>
      <c r="H244" s="148">
        <f t="shared" si="63"/>
        <v>26710.551999999996</v>
      </c>
      <c r="I244" s="148">
        <f t="shared" si="63"/>
        <v>25208.089519999998</v>
      </c>
      <c r="J244" s="148">
        <f t="shared" si="63"/>
        <v>157268.79233</v>
      </c>
      <c r="K244" s="81"/>
      <c r="L244" s="73"/>
    </row>
    <row r="245" spans="1:12" ht="27" customHeight="1" x14ac:dyDescent="0.3">
      <c r="A245" s="303"/>
      <c r="B245" s="268"/>
      <c r="C245" s="82" t="s">
        <v>174</v>
      </c>
      <c r="D245" s="148">
        <f>D250+D280+D320</f>
        <v>0</v>
      </c>
      <c r="E245" s="148">
        <f t="shared" ref="E245:J246" si="64">E250+E280+E320</f>
        <v>0</v>
      </c>
      <c r="F245" s="148">
        <f t="shared" si="64"/>
        <v>0</v>
      </c>
      <c r="G245" s="148">
        <f t="shared" si="64"/>
        <v>0</v>
      </c>
      <c r="H245" s="148">
        <f t="shared" si="64"/>
        <v>0</v>
      </c>
      <c r="I245" s="148">
        <f>I250+I280+I320</f>
        <v>0</v>
      </c>
      <c r="J245" s="148">
        <f t="shared" si="64"/>
        <v>0</v>
      </c>
      <c r="K245" s="81"/>
      <c r="L245" s="73"/>
    </row>
    <row r="246" spans="1:12" ht="21.75" customHeight="1" x14ac:dyDescent="0.3">
      <c r="A246" s="303"/>
      <c r="B246" s="268"/>
      <c r="C246" s="82" t="s">
        <v>175</v>
      </c>
      <c r="D246" s="148">
        <f>D251+D281+D321</f>
        <v>6929.3099999999995</v>
      </c>
      <c r="E246" s="148">
        <f t="shared" si="64"/>
        <v>0</v>
      </c>
      <c r="F246" s="148">
        <f t="shared" si="64"/>
        <v>0</v>
      </c>
      <c r="G246" s="148">
        <f t="shared" si="64"/>
        <v>0</v>
      </c>
      <c r="H246" s="148">
        <f t="shared" si="64"/>
        <v>0</v>
      </c>
      <c r="I246" s="148">
        <f>I251+I281+I321</f>
        <v>0</v>
      </c>
      <c r="J246" s="148">
        <f t="shared" si="64"/>
        <v>6929.3099999999995</v>
      </c>
      <c r="K246" s="81"/>
      <c r="L246" s="73"/>
    </row>
    <row r="247" spans="1:12" ht="37.5" customHeight="1" x14ac:dyDescent="0.3">
      <c r="A247" s="303"/>
      <c r="B247" s="268"/>
      <c r="C247" s="80" t="s">
        <v>176</v>
      </c>
      <c r="D247" s="148">
        <f>D252+D282+D322</f>
        <v>21810.29</v>
      </c>
      <c r="E247" s="148">
        <f t="shared" ref="E247:J247" si="65">E252+E282+E322+E317</f>
        <v>23958.890000000003</v>
      </c>
      <c r="F247" s="148">
        <f>F252+F282+F322+F317</f>
        <v>25850.126849999997</v>
      </c>
      <c r="G247" s="148">
        <f t="shared" si="65"/>
        <v>26801.533959999997</v>
      </c>
      <c r="H247" s="148">
        <f t="shared" si="65"/>
        <v>26710.551999999996</v>
      </c>
      <c r="I247" s="148">
        <f t="shared" si="65"/>
        <v>25208.089519999998</v>
      </c>
      <c r="J247" s="148">
        <f t="shared" si="65"/>
        <v>150339.48233</v>
      </c>
      <c r="K247" s="81"/>
      <c r="L247" s="73"/>
    </row>
    <row r="248" spans="1:12" ht="15.6" x14ac:dyDescent="0.3">
      <c r="A248" s="303"/>
      <c r="B248" s="268"/>
      <c r="C248" s="80" t="s">
        <v>177</v>
      </c>
      <c r="D248" s="148">
        <f>D253+D283+D323</f>
        <v>0</v>
      </c>
      <c r="E248" s="148">
        <f t="shared" ref="E248:J248" si="66">E253+E283+E323</f>
        <v>0</v>
      </c>
      <c r="F248" s="148">
        <f t="shared" si="66"/>
        <v>0</v>
      </c>
      <c r="G248" s="148">
        <f t="shared" si="66"/>
        <v>0</v>
      </c>
      <c r="H248" s="148">
        <f t="shared" si="66"/>
        <v>0</v>
      </c>
      <c r="I248" s="148">
        <f t="shared" si="66"/>
        <v>0</v>
      </c>
      <c r="J248" s="148">
        <f t="shared" si="66"/>
        <v>0</v>
      </c>
      <c r="K248" s="81"/>
      <c r="L248" s="73"/>
    </row>
    <row r="249" spans="1:12" ht="27.75" customHeight="1" x14ac:dyDescent="0.3">
      <c r="A249" s="282"/>
      <c r="B249" s="287" t="s">
        <v>119</v>
      </c>
      <c r="C249" s="83" t="s">
        <v>173</v>
      </c>
      <c r="D249" s="148">
        <f t="shared" ref="D249:J249" si="67">D254+D259+D264+D269+D274</f>
        <v>28602.5</v>
      </c>
      <c r="E249" s="148">
        <f t="shared" si="67"/>
        <v>23284.740000000005</v>
      </c>
      <c r="F249" s="148">
        <f>F254+F259+F264+F269+F274</f>
        <v>24214.664689999998</v>
      </c>
      <c r="G249" s="148">
        <f t="shared" si="67"/>
        <v>24935.323959999998</v>
      </c>
      <c r="H249" s="148">
        <f t="shared" si="67"/>
        <v>24942.761999999999</v>
      </c>
      <c r="I249" s="148">
        <f>I254+I259+I264+I269+I274</f>
        <v>23440.29952</v>
      </c>
      <c r="J249" s="148">
        <f t="shared" si="67"/>
        <v>149420.29016999999</v>
      </c>
      <c r="K249" s="81"/>
      <c r="L249" s="73"/>
    </row>
    <row r="250" spans="1:12" ht="31.2" x14ac:dyDescent="0.3">
      <c r="A250" s="278"/>
      <c r="B250" s="288"/>
      <c r="C250" s="85" t="s">
        <v>174</v>
      </c>
      <c r="D250" s="148">
        <f t="shared" ref="D250:J253" si="68">D255+D260+D265+D270+D275</f>
        <v>0</v>
      </c>
      <c r="E250" s="148">
        <f t="shared" si="68"/>
        <v>0</v>
      </c>
      <c r="F250" s="148">
        <f t="shared" si="68"/>
        <v>0</v>
      </c>
      <c r="G250" s="148">
        <f t="shared" si="68"/>
        <v>0</v>
      </c>
      <c r="H250" s="148">
        <f t="shared" si="68"/>
        <v>0</v>
      </c>
      <c r="I250" s="148">
        <f>I255+I260+I265+I270+I275</f>
        <v>0</v>
      </c>
      <c r="J250" s="148">
        <f>J255+J260+J265+J270+J275</f>
        <v>0</v>
      </c>
      <c r="K250" s="81"/>
      <c r="L250" s="73"/>
    </row>
    <row r="251" spans="1:12" ht="31.2" x14ac:dyDescent="0.3">
      <c r="A251" s="278"/>
      <c r="B251" s="288"/>
      <c r="C251" s="85" t="s">
        <v>175</v>
      </c>
      <c r="D251" s="148">
        <f t="shared" si="68"/>
        <v>6929.3099999999995</v>
      </c>
      <c r="E251" s="148">
        <f t="shared" si="68"/>
        <v>0</v>
      </c>
      <c r="F251" s="148">
        <f t="shared" si="68"/>
        <v>0</v>
      </c>
      <c r="G251" s="148">
        <f t="shared" si="68"/>
        <v>0</v>
      </c>
      <c r="H251" s="148">
        <f t="shared" si="68"/>
        <v>0</v>
      </c>
      <c r="I251" s="148">
        <f>I256+I261+I266+I271+I276</f>
        <v>0</v>
      </c>
      <c r="J251" s="148">
        <f t="shared" si="68"/>
        <v>6929.3099999999995</v>
      </c>
      <c r="K251" s="81"/>
      <c r="L251" s="73"/>
    </row>
    <row r="252" spans="1:12" ht="40.5" customHeight="1" x14ac:dyDescent="0.3">
      <c r="A252" s="278"/>
      <c r="B252" s="288"/>
      <c r="C252" s="83" t="s">
        <v>176</v>
      </c>
      <c r="D252" s="148">
        <f t="shared" si="68"/>
        <v>21673.190000000002</v>
      </c>
      <c r="E252" s="148">
        <f t="shared" si="68"/>
        <v>23284.740000000005</v>
      </c>
      <c r="F252" s="148">
        <f t="shared" si="68"/>
        <v>24214.664689999998</v>
      </c>
      <c r="G252" s="148">
        <f t="shared" si="68"/>
        <v>24935.323959999998</v>
      </c>
      <c r="H252" s="148">
        <f>H257+H262+H267+H272+H277</f>
        <v>24942.761999999999</v>
      </c>
      <c r="I252" s="148">
        <f>I257+I262+I267+I272+I277</f>
        <v>23440.29952</v>
      </c>
      <c r="J252" s="148">
        <f t="shared" si="68"/>
        <v>142490.98017</v>
      </c>
      <c r="K252" s="81"/>
      <c r="L252" s="73"/>
    </row>
    <row r="253" spans="1:12" ht="15.6" x14ac:dyDescent="0.3">
      <c r="A253" s="279"/>
      <c r="B253" s="289"/>
      <c r="C253" s="83" t="s">
        <v>177</v>
      </c>
      <c r="D253" s="148">
        <f t="shared" si="68"/>
        <v>0</v>
      </c>
      <c r="E253" s="148">
        <f t="shared" si="68"/>
        <v>0</v>
      </c>
      <c r="F253" s="148">
        <f t="shared" si="68"/>
        <v>0</v>
      </c>
      <c r="G253" s="148">
        <f t="shared" si="68"/>
        <v>0</v>
      </c>
      <c r="H253" s="148">
        <f t="shared" si="68"/>
        <v>0</v>
      </c>
      <c r="I253" s="148">
        <f>I258+I263+I268+I273+I278</f>
        <v>0</v>
      </c>
      <c r="J253" s="148">
        <f t="shared" si="68"/>
        <v>0</v>
      </c>
      <c r="K253" s="81"/>
      <c r="L253" s="73"/>
    </row>
    <row r="254" spans="1:12" ht="27" customHeight="1" x14ac:dyDescent="0.3">
      <c r="A254" s="282" t="s">
        <v>120</v>
      </c>
      <c r="B254" s="283" t="s">
        <v>121</v>
      </c>
      <c r="C254" s="83" t="s">
        <v>173</v>
      </c>
      <c r="D254" s="149">
        <f t="shared" ref="D254:J254" si="69">D255+D256+D257+D258</f>
        <v>0</v>
      </c>
      <c r="E254" s="149">
        <f t="shared" si="69"/>
        <v>0</v>
      </c>
      <c r="F254" s="149">
        <f t="shared" si="69"/>
        <v>0</v>
      </c>
      <c r="G254" s="149">
        <f t="shared" si="69"/>
        <v>0</v>
      </c>
      <c r="H254" s="149">
        <f t="shared" si="69"/>
        <v>0</v>
      </c>
      <c r="I254" s="149">
        <f>I255+I256+I257+I258</f>
        <v>0</v>
      </c>
      <c r="J254" s="149">
        <f t="shared" si="69"/>
        <v>0</v>
      </c>
      <c r="K254" s="84"/>
      <c r="L254" s="73"/>
    </row>
    <row r="255" spans="1:12" ht="31.2" x14ac:dyDescent="0.3">
      <c r="A255" s="278"/>
      <c r="B255" s="280"/>
      <c r="C255" s="85" t="s">
        <v>174</v>
      </c>
      <c r="D255" s="149">
        <v>0</v>
      </c>
      <c r="E255" s="149">
        <v>0</v>
      </c>
      <c r="F255" s="149">
        <v>0</v>
      </c>
      <c r="G255" s="149">
        <v>0</v>
      </c>
      <c r="H255" s="149">
        <v>0</v>
      </c>
      <c r="I255" s="149">
        <v>0</v>
      </c>
      <c r="J255" s="151">
        <f>SUM(D255:I255)</f>
        <v>0</v>
      </c>
      <c r="K255" s="84"/>
      <c r="L255" s="73"/>
    </row>
    <row r="256" spans="1:12" ht="21.75" customHeight="1" x14ac:dyDescent="0.3">
      <c r="A256" s="278"/>
      <c r="B256" s="280"/>
      <c r="C256" s="85" t="s">
        <v>175</v>
      </c>
      <c r="D256" s="149">
        <v>0</v>
      </c>
      <c r="E256" s="149">
        <v>0</v>
      </c>
      <c r="F256" s="149">
        <v>0</v>
      </c>
      <c r="G256" s="149">
        <v>0</v>
      </c>
      <c r="H256" s="149">
        <v>0</v>
      </c>
      <c r="I256" s="149">
        <v>0</v>
      </c>
      <c r="J256" s="151">
        <f>SUM(D256:I256)</f>
        <v>0</v>
      </c>
      <c r="K256" s="84"/>
      <c r="L256" s="73"/>
    </row>
    <row r="257" spans="1:12" ht="25.5" customHeight="1" x14ac:dyDescent="0.3">
      <c r="A257" s="278"/>
      <c r="B257" s="280"/>
      <c r="C257" s="83" t="s">
        <v>176</v>
      </c>
      <c r="D257" s="149">
        <f>80-80</f>
        <v>0</v>
      </c>
      <c r="E257" s="149">
        <v>0</v>
      </c>
      <c r="F257" s="149">
        <v>0</v>
      </c>
      <c r="G257" s="149">
        <v>0</v>
      </c>
      <c r="H257" s="149">
        <v>0</v>
      </c>
      <c r="I257" s="149">
        <v>0</v>
      </c>
      <c r="J257" s="151">
        <f>SUM(D257:I257)</f>
        <v>0</v>
      </c>
      <c r="K257" s="84"/>
      <c r="L257" s="73"/>
    </row>
    <row r="258" spans="1:12" ht="21.75" customHeight="1" x14ac:dyDescent="0.3">
      <c r="A258" s="279"/>
      <c r="B258" s="281"/>
      <c r="C258" s="83" t="s">
        <v>177</v>
      </c>
      <c r="D258" s="149">
        <v>0</v>
      </c>
      <c r="E258" s="149">
        <v>0</v>
      </c>
      <c r="F258" s="149">
        <v>0</v>
      </c>
      <c r="G258" s="149">
        <v>0</v>
      </c>
      <c r="H258" s="149">
        <v>0</v>
      </c>
      <c r="I258" s="149">
        <v>0</v>
      </c>
      <c r="J258" s="151">
        <f>SUM(D258:I258)</f>
        <v>0</v>
      </c>
      <c r="K258" s="84"/>
      <c r="L258" s="73"/>
    </row>
    <row r="259" spans="1:12" ht="20.25" customHeight="1" x14ac:dyDescent="0.3">
      <c r="A259" s="270" t="s">
        <v>124</v>
      </c>
      <c r="B259" s="277" t="s">
        <v>193</v>
      </c>
      <c r="C259" s="83" t="s">
        <v>173</v>
      </c>
      <c r="D259" s="149">
        <f t="shared" ref="D259:J259" si="70">D260+D261+D262+D263</f>
        <v>21603.200000000001</v>
      </c>
      <c r="E259" s="149">
        <f t="shared" si="70"/>
        <v>23284.740000000005</v>
      </c>
      <c r="F259" s="149">
        <f t="shared" si="70"/>
        <v>24214.664689999998</v>
      </c>
      <c r="G259" s="149">
        <f t="shared" si="70"/>
        <v>24935.323959999998</v>
      </c>
      <c r="H259" s="149">
        <f t="shared" si="70"/>
        <v>24942.761999999999</v>
      </c>
      <c r="I259" s="149">
        <f>I260+I261+I262+I263</f>
        <v>23440.29952</v>
      </c>
      <c r="J259" s="149">
        <f t="shared" si="70"/>
        <v>142420.99017</v>
      </c>
      <c r="K259" s="84"/>
      <c r="L259" s="73"/>
    </row>
    <row r="260" spans="1:12" ht="24" customHeight="1" x14ac:dyDescent="0.3">
      <c r="A260" s="270"/>
      <c r="B260" s="277"/>
      <c r="C260" s="85" t="s">
        <v>174</v>
      </c>
      <c r="D260" s="149">
        <v>0</v>
      </c>
      <c r="E260" s="149">
        <v>0</v>
      </c>
      <c r="F260" s="151">
        <v>0</v>
      </c>
      <c r="G260" s="151">
        <v>0</v>
      </c>
      <c r="H260" s="151">
        <v>0</v>
      </c>
      <c r="I260" s="151">
        <v>0</v>
      </c>
      <c r="J260" s="151">
        <f>SUM(D260:I260)</f>
        <v>0</v>
      </c>
      <c r="K260" s="84"/>
      <c r="L260" s="73"/>
    </row>
    <row r="261" spans="1:12" ht="17.25" customHeight="1" x14ac:dyDescent="0.3">
      <c r="A261" s="270"/>
      <c r="B261" s="277"/>
      <c r="C261" s="85" t="s">
        <v>175</v>
      </c>
      <c r="D261" s="149">
        <v>0</v>
      </c>
      <c r="E261" s="149">
        <v>0</v>
      </c>
      <c r="F261" s="151">
        <v>0</v>
      </c>
      <c r="G261" s="151">
        <v>0</v>
      </c>
      <c r="H261" s="151">
        <v>0</v>
      </c>
      <c r="I261" s="151">
        <v>0</v>
      </c>
      <c r="J261" s="151">
        <f>SUM(D261:I261)</f>
        <v>0</v>
      </c>
      <c r="K261" s="84"/>
      <c r="L261" s="73"/>
    </row>
    <row r="262" spans="1:12" ht="30.75" customHeight="1" x14ac:dyDescent="0.3">
      <c r="A262" s="270"/>
      <c r="B262" s="277"/>
      <c r="C262" s="83" t="s">
        <v>176</v>
      </c>
      <c r="D262" s="149">
        <v>21603.200000000001</v>
      </c>
      <c r="E262" s="149">
        <f>22647.4+24.39+309.24+515+210-401.1+179.81-200</f>
        <v>23284.740000000005</v>
      </c>
      <c r="F262" s="151">
        <f>23996.964+460-1677.41874+39.762+130.222+1265.13543</f>
        <v>24214.664689999998</v>
      </c>
      <c r="G262" s="151">
        <f>24725.57796+1356.3-1600+342.846+124.6-14</f>
        <v>24935.323959999998</v>
      </c>
      <c r="H262" s="151">
        <v>24942.761999999999</v>
      </c>
      <c r="I262" s="151">
        <v>23440.29952</v>
      </c>
      <c r="J262" s="151">
        <f>SUM(D262:I262)</f>
        <v>142420.99017</v>
      </c>
      <c r="K262" s="84"/>
      <c r="L262" s="73"/>
    </row>
    <row r="263" spans="1:12" ht="22.5" customHeight="1" x14ac:dyDescent="0.3">
      <c r="A263" s="270"/>
      <c r="B263" s="277"/>
      <c r="C263" s="83" t="s">
        <v>177</v>
      </c>
      <c r="D263" s="149">
        <v>0</v>
      </c>
      <c r="E263" s="149">
        <v>0</v>
      </c>
      <c r="F263" s="151">
        <v>0</v>
      </c>
      <c r="G263" s="151">
        <v>0</v>
      </c>
      <c r="H263" s="151">
        <v>0</v>
      </c>
      <c r="I263" s="151">
        <v>0</v>
      </c>
      <c r="J263" s="151">
        <f>SUM(D263:I263)</f>
        <v>0</v>
      </c>
      <c r="K263" s="84"/>
      <c r="L263" s="73"/>
    </row>
    <row r="264" spans="1:12" ht="22.5" customHeight="1" x14ac:dyDescent="0.3">
      <c r="A264" s="307" t="s">
        <v>127</v>
      </c>
      <c r="B264" s="277" t="s">
        <v>128</v>
      </c>
      <c r="C264" s="83" t="s">
        <v>173</v>
      </c>
      <c r="D264" s="149">
        <f t="shared" ref="D264:J264" si="71">D265+D266+D267+D268</f>
        <v>0</v>
      </c>
      <c r="E264" s="149">
        <f t="shared" si="71"/>
        <v>0</v>
      </c>
      <c r="F264" s="149">
        <f t="shared" si="71"/>
        <v>0</v>
      </c>
      <c r="G264" s="149">
        <f t="shared" si="71"/>
        <v>0</v>
      </c>
      <c r="H264" s="149">
        <f t="shared" si="71"/>
        <v>0</v>
      </c>
      <c r="I264" s="149">
        <f>I265+I266+I267+I268</f>
        <v>0</v>
      </c>
      <c r="J264" s="149">
        <f t="shared" si="71"/>
        <v>0</v>
      </c>
      <c r="K264" s="84"/>
      <c r="L264" s="73"/>
    </row>
    <row r="265" spans="1:12" ht="23.25" customHeight="1" x14ac:dyDescent="0.3">
      <c r="A265" s="307"/>
      <c r="B265" s="277"/>
      <c r="C265" s="85" t="s">
        <v>174</v>
      </c>
      <c r="D265" s="149">
        <v>0</v>
      </c>
      <c r="E265" s="149">
        <v>0</v>
      </c>
      <c r="F265" s="151">
        <v>0</v>
      </c>
      <c r="G265" s="151">
        <v>0</v>
      </c>
      <c r="H265" s="151">
        <v>0</v>
      </c>
      <c r="I265" s="151">
        <v>0</v>
      </c>
      <c r="J265" s="151">
        <f>SUM(D265:I265)</f>
        <v>0</v>
      </c>
      <c r="K265" s="84"/>
      <c r="L265" s="73"/>
    </row>
    <row r="266" spans="1:12" ht="22.5" customHeight="1" x14ac:dyDescent="0.3">
      <c r="A266" s="307"/>
      <c r="B266" s="277"/>
      <c r="C266" s="85" t="s">
        <v>175</v>
      </c>
      <c r="D266" s="149">
        <v>0</v>
      </c>
      <c r="E266" s="149">
        <v>0</v>
      </c>
      <c r="F266" s="151">
        <v>0</v>
      </c>
      <c r="G266" s="151">
        <v>0</v>
      </c>
      <c r="H266" s="151">
        <v>0</v>
      </c>
      <c r="I266" s="151">
        <v>0</v>
      </c>
      <c r="J266" s="151">
        <f>SUM(D266:I266)</f>
        <v>0</v>
      </c>
      <c r="K266" s="84"/>
      <c r="L266" s="73"/>
    </row>
    <row r="267" spans="1:12" ht="15.75" customHeight="1" x14ac:dyDescent="0.3">
      <c r="A267" s="307"/>
      <c r="B267" s="277"/>
      <c r="C267" s="83" t="s">
        <v>176</v>
      </c>
      <c r="D267" s="149">
        <v>0</v>
      </c>
      <c r="E267" s="149">
        <v>0</v>
      </c>
      <c r="F267" s="151">
        <v>0</v>
      </c>
      <c r="G267" s="151">
        <v>0</v>
      </c>
      <c r="H267" s="151">
        <v>0</v>
      </c>
      <c r="I267" s="151">
        <v>0</v>
      </c>
      <c r="J267" s="151">
        <f>SUM(D267:I267)</f>
        <v>0</v>
      </c>
      <c r="K267" s="84"/>
      <c r="L267" s="73"/>
    </row>
    <row r="268" spans="1:12" ht="32.25" customHeight="1" x14ac:dyDescent="0.3">
      <c r="A268" s="307"/>
      <c r="B268" s="277"/>
      <c r="C268" s="83" t="s">
        <v>177</v>
      </c>
      <c r="D268" s="149">
        <v>0</v>
      </c>
      <c r="E268" s="149">
        <v>0</v>
      </c>
      <c r="F268" s="151">
        <v>0</v>
      </c>
      <c r="G268" s="151">
        <v>0</v>
      </c>
      <c r="H268" s="151">
        <v>0</v>
      </c>
      <c r="I268" s="151">
        <v>0</v>
      </c>
      <c r="J268" s="151">
        <f>SUM(D268:I268)</f>
        <v>0</v>
      </c>
      <c r="K268" s="84"/>
      <c r="L268" s="73"/>
    </row>
    <row r="269" spans="1:12" ht="23.25" customHeight="1" x14ac:dyDescent="0.3">
      <c r="A269" s="307" t="s">
        <v>130</v>
      </c>
      <c r="B269" s="277" t="s">
        <v>131</v>
      </c>
      <c r="C269" s="83" t="s">
        <v>173</v>
      </c>
      <c r="D269" s="149">
        <f t="shared" ref="D269:J269" si="72">D270+D271+D272+D273</f>
        <v>0</v>
      </c>
      <c r="E269" s="149">
        <f t="shared" si="72"/>
        <v>0</v>
      </c>
      <c r="F269" s="149">
        <f t="shared" si="72"/>
        <v>0</v>
      </c>
      <c r="G269" s="149">
        <f t="shared" si="72"/>
        <v>0</v>
      </c>
      <c r="H269" s="149">
        <f t="shared" si="72"/>
        <v>0</v>
      </c>
      <c r="I269" s="149">
        <f>I270+I271+I272+I273</f>
        <v>0</v>
      </c>
      <c r="J269" s="149">
        <f t="shared" si="72"/>
        <v>0</v>
      </c>
      <c r="K269" s="84"/>
      <c r="L269" s="73"/>
    </row>
    <row r="270" spans="1:12" ht="23.25" customHeight="1" x14ac:dyDescent="0.3">
      <c r="A270" s="307"/>
      <c r="B270" s="277"/>
      <c r="C270" s="85" t="s">
        <v>174</v>
      </c>
      <c r="D270" s="149">
        <v>0</v>
      </c>
      <c r="E270" s="149">
        <v>0</v>
      </c>
      <c r="F270" s="151">
        <v>0</v>
      </c>
      <c r="G270" s="151">
        <v>0</v>
      </c>
      <c r="H270" s="151">
        <v>0</v>
      </c>
      <c r="I270" s="151">
        <v>0</v>
      </c>
      <c r="J270" s="151">
        <f>SUM(D270:I270)</f>
        <v>0</v>
      </c>
      <c r="K270" s="84"/>
      <c r="L270" s="73"/>
    </row>
    <row r="271" spans="1:12" ht="22.5" customHeight="1" x14ac:dyDescent="0.3">
      <c r="A271" s="307"/>
      <c r="B271" s="277"/>
      <c r="C271" s="85" t="s">
        <v>175</v>
      </c>
      <c r="D271" s="149">
        <v>0</v>
      </c>
      <c r="E271" s="149">
        <v>0</v>
      </c>
      <c r="F271" s="151">
        <v>0</v>
      </c>
      <c r="G271" s="151">
        <v>0</v>
      </c>
      <c r="H271" s="151">
        <v>0</v>
      </c>
      <c r="I271" s="151">
        <v>0</v>
      </c>
      <c r="J271" s="151">
        <f>SUM(D271:I271)</f>
        <v>0</v>
      </c>
      <c r="K271" s="84"/>
      <c r="L271" s="73"/>
    </row>
    <row r="272" spans="1:12" ht="15.75" customHeight="1" x14ac:dyDescent="0.3">
      <c r="A272" s="307"/>
      <c r="B272" s="277"/>
      <c r="C272" s="83" t="s">
        <v>176</v>
      </c>
      <c r="D272" s="149">
        <v>0</v>
      </c>
      <c r="E272" s="149">
        <v>0</v>
      </c>
      <c r="F272" s="151">
        <v>0</v>
      </c>
      <c r="G272" s="151">
        <v>0</v>
      </c>
      <c r="H272" s="151">
        <v>0</v>
      </c>
      <c r="I272" s="151">
        <v>0</v>
      </c>
      <c r="J272" s="151">
        <f>SUM(D272:I272)</f>
        <v>0</v>
      </c>
      <c r="K272" s="84"/>
      <c r="L272" s="73"/>
    </row>
    <row r="273" spans="1:12" ht="23.25" customHeight="1" x14ac:dyDescent="0.3">
      <c r="A273" s="307"/>
      <c r="B273" s="277"/>
      <c r="C273" s="83" t="s">
        <v>177</v>
      </c>
      <c r="D273" s="149">
        <v>0</v>
      </c>
      <c r="E273" s="149">
        <v>0</v>
      </c>
      <c r="F273" s="151">
        <v>0</v>
      </c>
      <c r="G273" s="151">
        <v>0</v>
      </c>
      <c r="H273" s="151">
        <v>0</v>
      </c>
      <c r="I273" s="151">
        <v>0</v>
      </c>
      <c r="J273" s="151">
        <f>SUM(D273:I273)</f>
        <v>0</v>
      </c>
      <c r="K273" s="84"/>
      <c r="L273" s="73"/>
    </row>
    <row r="274" spans="1:12" ht="23.25" customHeight="1" x14ac:dyDescent="0.3">
      <c r="A274" s="308" t="s">
        <v>194</v>
      </c>
      <c r="B274" s="284" t="s">
        <v>133</v>
      </c>
      <c r="C274" s="83" t="s">
        <v>173</v>
      </c>
      <c r="D274" s="149">
        <f t="shared" ref="D274:J274" si="73">D275+D276+D277+D278</f>
        <v>6999.2999999999993</v>
      </c>
      <c r="E274" s="149">
        <f t="shared" si="73"/>
        <v>0</v>
      </c>
      <c r="F274" s="149">
        <f t="shared" si="73"/>
        <v>0</v>
      </c>
      <c r="G274" s="149">
        <f t="shared" si="73"/>
        <v>0</v>
      </c>
      <c r="H274" s="149">
        <f t="shared" si="73"/>
        <v>0</v>
      </c>
      <c r="I274" s="149">
        <f>I275+I276+I277+I278</f>
        <v>0</v>
      </c>
      <c r="J274" s="149">
        <f t="shared" si="73"/>
        <v>6999.2999999999993</v>
      </c>
      <c r="K274" s="84"/>
      <c r="L274" s="73"/>
    </row>
    <row r="275" spans="1:12" ht="23.25" customHeight="1" x14ac:dyDescent="0.3">
      <c r="A275" s="309"/>
      <c r="B275" s="285"/>
      <c r="C275" s="85" t="s">
        <v>174</v>
      </c>
      <c r="D275" s="149">
        <v>0</v>
      </c>
      <c r="E275" s="149">
        <v>0</v>
      </c>
      <c r="F275" s="151">
        <v>0</v>
      </c>
      <c r="G275" s="151">
        <v>0</v>
      </c>
      <c r="H275" s="151">
        <v>0</v>
      </c>
      <c r="I275" s="151">
        <v>0</v>
      </c>
      <c r="J275" s="151">
        <f>SUM(D275:I275)</f>
        <v>0</v>
      </c>
      <c r="K275" s="84"/>
      <c r="L275" s="73"/>
    </row>
    <row r="276" spans="1:12" ht="23.25" customHeight="1" x14ac:dyDescent="0.3">
      <c r="A276" s="309"/>
      <c r="B276" s="285"/>
      <c r="C276" s="85" t="s">
        <v>175</v>
      </c>
      <c r="D276" s="149">
        <f>9900-2970.69</f>
        <v>6929.3099999999995</v>
      </c>
      <c r="E276" s="149">
        <v>0</v>
      </c>
      <c r="F276" s="151">
        <v>0</v>
      </c>
      <c r="G276" s="151">
        <v>0</v>
      </c>
      <c r="H276" s="151">
        <v>0</v>
      </c>
      <c r="I276" s="151">
        <v>0</v>
      </c>
      <c r="J276" s="151">
        <f>SUM(D276:I276)</f>
        <v>6929.3099999999995</v>
      </c>
      <c r="K276" s="84"/>
      <c r="L276" s="73"/>
    </row>
    <row r="277" spans="1:12" ht="23.25" customHeight="1" x14ac:dyDescent="0.3">
      <c r="A277" s="309"/>
      <c r="B277" s="285"/>
      <c r="C277" s="83" t="s">
        <v>176</v>
      </c>
      <c r="D277" s="149">
        <v>69.989999999999995</v>
      </c>
      <c r="E277" s="149">
        <v>0</v>
      </c>
      <c r="F277" s="151">
        <v>0</v>
      </c>
      <c r="G277" s="151">
        <v>0</v>
      </c>
      <c r="H277" s="151">
        <v>0</v>
      </c>
      <c r="I277" s="151">
        <v>0</v>
      </c>
      <c r="J277" s="151">
        <f>SUM(D277:I277)</f>
        <v>69.989999999999995</v>
      </c>
      <c r="K277" s="84"/>
      <c r="L277" s="73"/>
    </row>
    <row r="278" spans="1:12" ht="23.25" customHeight="1" x14ac:dyDescent="0.3">
      <c r="A278" s="310"/>
      <c r="B278" s="286"/>
      <c r="C278" s="83" t="s">
        <v>177</v>
      </c>
      <c r="D278" s="149">
        <v>0</v>
      </c>
      <c r="E278" s="149">
        <v>0</v>
      </c>
      <c r="F278" s="151">
        <v>0</v>
      </c>
      <c r="G278" s="151">
        <v>0</v>
      </c>
      <c r="H278" s="151">
        <v>0</v>
      </c>
      <c r="I278" s="151">
        <v>0</v>
      </c>
      <c r="J278" s="151">
        <f>SUM(D278:I278)</f>
        <v>0</v>
      </c>
      <c r="K278" s="84"/>
      <c r="L278" s="73"/>
    </row>
    <row r="279" spans="1:12" ht="23.25" customHeight="1" x14ac:dyDescent="0.3">
      <c r="A279" s="308" t="s">
        <v>13</v>
      </c>
      <c r="B279" s="287" t="s">
        <v>134</v>
      </c>
      <c r="C279" s="80" t="s">
        <v>173</v>
      </c>
      <c r="D279" s="148">
        <f>D284+D289+D294+D304+D299</f>
        <v>137.1</v>
      </c>
      <c r="E279" s="148">
        <f>E284+E289+E294+E304+E299</f>
        <v>273.05</v>
      </c>
      <c r="F279" s="148">
        <f>F284+F289+F294+F304+F299+F309</f>
        <v>547.27856999999995</v>
      </c>
      <c r="G279" s="148">
        <f>G284+G289+G294+G304+G299</f>
        <v>130.02000000000001</v>
      </c>
      <c r="H279" s="148">
        <f>H284+H289+H294+H304+H299</f>
        <v>31.6</v>
      </c>
      <c r="I279" s="148">
        <f>I284+I289+I294+I304+I299</f>
        <v>31.6</v>
      </c>
      <c r="J279" s="148">
        <f>J284+J289+J294+J304+J299+J309</f>
        <v>1150.6485699999998</v>
      </c>
      <c r="K279" s="81"/>
      <c r="L279" s="73"/>
    </row>
    <row r="280" spans="1:12" ht="23.25" customHeight="1" x14ac:dyDescent="0.3">
      <c r="A280" s="309"/>
      <c r="B280" s="288"/>
      <c r="C280" s="82" t="s">
        <v>174</v>
      </c>
      <c r="D280" s="148">
        <f t="shared" ref="D280:J283" si="74">D285+D290+D295</f>
        <v>0</v>
      </c>
      <c r="E280" s="148">
        <f t="shared" si="74"/>
        <v>0</v>
      </c>
      <c r="F280" s="148">
        <f t="shared" si="74"/>
        <v>0</v>
      </c>
      <c r="G280" s="148">
        <f t="shared" si="74"/>
        <v>0</v>
      </c>
      <c r="H280" s="148">
        <f t="shared" si="74"/>
        <v>0</v>
      </c>
      <c r="I280" s="148">
        <f>I285+I290+I295</f>
        <v>0</v>
      </c>
      <c r="J280" s="148">
        <f t="shared" si="74"/>
        <v>0</v>
      </c>
      <c r="K280" s="81"/>
      <c r="L280" s="73"/>
    </row>
    <row r="281" spans="1:12" ht="23.25" customHeight="1" x14ac:dyDescent="0.3">
      <c r="A281" s="309"/>
      <c r="B281" s="288"/>
      <c r="C281" s="82" t="s">
        <v>175</v>
      </c>
      <c r="D281" s="148">
        <f t="shared" si="74"/>
        <v>0</v>
      </c>
      <c r="E281" s="148">
        <f t="shared" si="74"/>
        <v>0</v>
      </c>
      <c r="F281" s="148">
        <f t="shared" si="74"/>
        <v>0</v>
      </c>
      <c r="G281" s="148">
        <f t="shared" si="74"/>
        <v>0</v>
      </c>
      <c r="H281" s="148">
        <f t="shared" si="74"/>
        <v>0</v>
      </c>
      <c r="I281" s="148">
        <f>I286+I291+I296</f>
        <v>0</v>
      </c>
      <c r="J281" s="148">
        <f t="shared" si="74"/>
        <v>0</v>
      </c>
      <c r="K281" s="81"/>
      <c r="L281" s="73"/>
    </row>
    <row r="282" spans="1:12" ht="23.25" customHeight="1" x14ac:dyDescent="0.3">
      <c r="A282" s="309"/>
      <c r="B282" s="288"/>
      <c r="C282" s="80" t="s">
        <v>176</v>
      </c>
      <c r="D282" s="148">
        <f>D287+D292+D297</f>
        <v>137.1</v>
      </c>
      <c r="E282" s="148">
        <f>E287+E292+E297+E302+E307</f>
        <v>273.05</v>
      </c>
      <c r="F282" s="148">
        <f>F287+F292+F297+F302+F307+F312</f>
        <v>547.27856999999995</v>
      </c>
      <c r="G282" s="148">
        <f>G287+G292+G297+G302+G307</f>
        <v>130.02000000000001</v>
      </c>
      <c r="H282" s="148">
        <f>H287+H292+H297+H302+H307</f>
        <v>31.6</v>
      </c>
      <c r="I282" s="148">
        <f>I287+I292+I297+I302+I307</f>
        <v>31.6</v>
      </c>
      <c r="J282" s="148">
        <f>J287+J292+J297+J302+J307+J312</f>
        <v>1150.6485699999998</v>
      </c>
      <c r="K282" s="81"/>
      <c r="L282" s="73"/>
    </row>
    <row r="283" spans="1:12" ht="23.25" customHeight="1" x14ac:dyDescent="0.3">
      <c r="A283" s="310"/>
      <c r="B283" s="289"/>
      <c r="C283" s="80" t="s">
        <v>177</v>
      </c>
      <c r="D283" s="148">
        <f t="shared" si="74"/>
        <v>0</v>
      </c>
      <c r="E283" s="148">
        <f t="shared" si="74"/>
        <v>0</v>
      </c>
      <c r="F283" s="148">
        <f t="shared" si="74"/>
        <v>0</v>
      </c>
      <c r="G283" s="148">
        <f t="shared" si="74"/>
        <v>0</v>
      </c>
      <c r="H283" s="148">
        <f t="shared" si="74"/>
        <v>0</v>
      </c>
      <c r="I283" s="148">
        <f>I288+I293+I298</f>
        <v>0</v>
      </c>
      <c r="J283" s="148">
        <f t="shared" si="74"/>
        <v>0</v>
      </c>
      <c r="K283" s="81"/>
      <c r="L283" s="73"/>
    </row>
    <row r="284" spans="1:12" ht="23.25" customHeight="1" x14ac:dyDescent="0.3">
      <c r="A284" s="307" t="s">
        <v>135</v>
      </c>
      <c r="B284" s="277" t="s">
        <v>136</v>
      </c>
      <c r="C284" s="83" t="s">
        <v>173</v>
      </c>
      <c r="D284" s="149">
        <f t="shared" ref="D284:J284" si="75">D285+D286+D287+D288</f>
        <v>79.3</v>
      </c>
      <c r="E284" s="149">
        <f t="shared" si="75"/>
        <v>77.5</v>
      </c>
      <c r="F284" s="149">
        <f t="shared" si="75"/>
        <v>65.16</v>
      </c>
      <c r="G284" s="149">
        <f t="shared" si="75"/>
        <v>0</v>
      </c>
      <c r="H284" s="149">
        <f t="shared" si="75"/>
        <v>0</v>
      </c>
      <c r="I284" s="149">
        <f>I285+I286+I287+I288</f>
        <v>0</v>
      </c>
      <c r="J284" s="149">
        <f t="shared" si="75"/>
        <v>221.96</v>
      </c>
      <c r="K284" s="84"/>
      <c r="L284" s="73"/>
    </row>
    <row r="285" spans="1:12" ht="26.25" customHeight="1" x14ac:dyDescent="0.3">
      <c r="A285" s="307"/>
      <c r="B285" s="277"/>
      <c r="C285" s="85" t="s">
        <v>174</v>
      </c>
      <c r="D285" s="149">
        <v>0</v>
      </c>
      <c r="E285" s="149">
        <v>0</v>
      </c>
      <c r="F285" s="151">
        <v>0</v>
      </c>
      <c r="G285" s="151">
        <v>0</v>
      </c>
      <c r="H285" s="151">
        <v>0</v>
      </c>
      <c r="I285" s="151">
        <v>0</v>
      </c>
      <c r="J285" s="151">
        <f>SUM(D285:I285)</f>
        <v>0</v>
      </c>
      <c r="K285" s="84"/>
      <c r="L285" s="73"/>
    </row>
    <row r="286" spans="1:12" ht="21" customHeight="1" x14ac:dyDescent="0.3">
      <c r="A286" s="307"/>
      <c r="B286" s="277"/>
      <c r="C286" s="85" t="s">
        <v>175</v>
      </c>
      <c r="D286" s="149">
        <v>0</v>
      </c>
      <c r="E286" s="149">
        <v>0</v>
      </c>
      <c r="F286" s="151">
        <v>0</v>
      </c>
      <c r="G286" s="151">
        <v>0</v>
      </c>
      <c r="H286" s="151">
        <v>0</v>
      </c>
      <c r="I286" s="151">
        <v>0</v>
      </c>
      <c r="J286" s="151">
        <f>SUM(D286:I286)</f>
        <v>0</v>
      </c>
      <c r="K286" s="84"/>
      <c r="L286" s="73"/>
    </row>
    <row r="287" spans="1:12" ht="15.75" customHeight="1" x14ac:dyDescent="0.3">
      <c r="A287" s="307"/>
      <c r="B287" s="277"/>
      <c r="C287" s="83" t="s">
        <v>176</v>
      </c>
      <c r="D287" s="149">
        <v>79.3</v>
      </c>
      <c r="E287" s="149">
        <f>85.5-8</f>
        <v>77.5</v>
      </c>
      <c r="F287" s="151">
        <f>85.5-20.34</f>
        <v>65.16</v>
      </c>
      <c r="G287" s="151">
        <v>0</v>
      </c>
      <c r="H287" s="151">
        <v>0</v>
      </c>
      <c r="I287" s="151">
        <v>0</v>
      </c>
      <c r="J287" s="151">
        <f>SUM(D287:I287)</f>
        <v>221.96</v>
      </c>
      <c r="K287" s="84"/>
      <c r="L287" s="73"/>
    </row>
    <row r="288" spans="1:12" ht="20.25" customHeight="1" x14ac:dyDescent="0.3">
      <c r="A288" s="307"/>
      <c r="B288" s="277"/>
      <c r="C288" s="83" t="s">
        <v>177</v>
      </c>
      <c r="D288" s="149">
        <v>0</v>
      </c>
      <c r="E288" s="149">
        <v>0</v>
      </c>
      <c r="F288" s="151">
        <v>0</v>
      </c>
      <c r="G288" s="151">
        <v>0</v>
      </c>
      <c r="H288" s="151">
        <v>0</v>
      </c>
      <c r="I288" s="151">
        <v>0</v>
      </c>
      <c r="J288" s="151">
        <f>SUM(D288:I288)</f>
        <v>0</v>
      </c>
      <c r="K288" s="84"/>
      <c r="L288" s="73"/>
    </row>
    <row r="289" spans="1:12" ht="22.2" customHeight="1" x14ac:dyDescent="0.3">
      <c r="A289" s="307" t="s">
        <v>138</v>
      </c>
      <c r="B289" s="277" t="s">
        <v>71</v>
      </c>
      <c r="C289" s="83" t="s">
        <v>173</v>
      </c>
      <c r="D289" s="149">
        <f t="shared" ref="D289:J289" si="76">D290+D291+D292+D293</f>
        <v>57.8</v>
      </c>
      <c r="E289" s="149">
        <f t="shared" si="76"/>
        <v>19.200000000000003</v>
      </c>
      <c r="F289" s="149">
        <f t="shared" si="76"/>
        <v>22.118569999999998</v>
      </c>
      <c r="G289" s="149">
        <f t="shared" si="76"/>
        <v>31.6</v>
      </c>
      <c r="H289" s="149">
        <f t="shared" si="76"/>
        <v>31.6</v>
      </c>
      <c r="I289" s="149">
        <f>I290+I291+I292+I293</f>
        <v>31.6</v>
      </c>
      <c r="J289" s="149">
        <f t="shared" si="76"/>
        <v>193.91856999999999</v>
      </c>
      <c r="K289" s="84"/>
      <c r="L289" s="73"/>
    </row>
    <row r="290" spans="1:12" ht="24" customHeight="1" x14ac:dyDescent="0.3">
      <c r="A290" s="307"/>
      <c r="B290" s="277"/>
      <c r="C290" s="85" t="s">
        <v>174</v>
      </c>
      <c r="D290" s="149">
        <v>0</v>
      </c>
      <c r="E290" s="149">
        <v>0</v>
      </c>
      <c r="F290" s="151">
        <v>0</v>
      </c>
      <c r="G290" s="151">
        <v>0</v>
      </c>
      <c r="H290" s="151">
        <v>0</v>
      </c>
      <c r="I290" s="151">
        <v>0</v>
      </c>
      <c r="J290" s="151">
        <f>SUM(D290:I290)</f>
        <v>0</v>
      </c>
      <c r="K290" s="84"/>
      <c r="L290" s="73"/>
    </row>
    <row r="291" spans="1:12" ht="19.5" customHeight="1" x14ac:dyDescent="0.3">
      <c r="A291" s="307"/>
      <c r="B291" s="277"/>
      <c r="C291" s="85" t="s">
        <v>175</v>
      </c>
      <c r="D291" s="149">
        <v>0</v>
      </c>
      <c r="E291" s="149">
        <v>0</v>
      </c>
      <c r="F291" s="151">
        <v>0</v>
      </c>
      <c r="G291" s="151">
        <v>0</v>
      </c>
      <c r="H291" s="151">
        <v>0</v>
      </c>
      <c r="I291" s="151">
        <v>0</v>
      </c>
      <c r="J291" s="151">
        <f>SUM(D291:I291)</f>
        <v>0</v>
      </c>
      <c r="K291" s="84"/>
      <c r="L291" s="73"/>
    </row>
    <row r="292" spans="1:12" ht="15.75" customHeight="1" x14ac:dyDescent="0.3">
      <c r="A292" s="307"/>
      <c r="B292" s="277"/>
      <c r="C292" s="83" t="s">
        <v>176</v>
      </c>
      <c r="D292" s="149">
        <v>57.8</v>
      </c>
      <c r="E292" s="149">
        <f>24.8-5.6</f>
        <v>19.200000000000003</v>
      </c>
      <c r="F292" s="151">
        <f>25-2.88143</f>
        <v>22.118569999999998</v>
      </c>
      <c r="G292" s="151">
        <v>31.6</v>
      </c>
      <c r="H292" s="151">
        <v>31.6</v>
      </c>
      <c r="I292" s="151">
        <v>31.6</v>
      </c>
      <c r="J292" s="151">
        <f>SUM(D292:I292)</f>
        <v>193.91856999999999</v>
      </c>
      <c r="K292" s="84"/>
      <c r="L292" s="73"/>
    </row>
    <row r="293" spans="1:12" ht="30.75" customHeight="1" x14ac:dyDescent="0.3">
      <c r="A293" s="307"/>
      <c r="B293" s="277"/>
      <c r="C293" s="83" t="s">
        <v>177</v>
      </c>
      <c r="D293" s="149">
        <v>0</v>
      </c>
      <c r="E293" s="149">
        <v>0</v>
      </c>
      <c r="F293" s="151">
        <v>0</v>
      </c>
      <c r="G293" s="151">
        <v>0</v>
      </c>
      <c r="H293" s="151">
        <v>0</v>
      </c>
      <c r="I293" s="151">
        <v>0</v>
      </c>
      <c r="J293" s="151">
        <f>SUM(D293:I293)</f>
        <v>0</v>
      </c>
      <c r="K293" s="84"/>
      <c r="L293" s="73"/>
    </row>
    <row r="294" spans="1:12" ht="22.5" customHeight="1" x14ac:dyDescent="0.3">
      <c r="A294" s="307" t="s">
        <v>139</v>
      </c>
      <c r="B294" s="277" t="s">
        <v>104</v>
      </c>
      <c r="C294" s="83" t="s">
        <v>173</v>
      </c>
      <c r="D294" s="149">
        <f t="shared" ref="D294:J294" si="77">D295+D296+D297+D298</f>
        <v>0</v>
      </c>
      <c r="E294" s="149">
        <f t="shared" si="77"/>
        <v>0</v>
      </c>
      <c r="F294" s="149">
        <f t="shared" si="77"/>
        <v>0</v>
      </c>
      <c r="G294" s="149">
        <f t="shared" si="77"/>
        <v>0</v>
      </c>
      <c r="H294" s="149">
        <f t="shared" si="77"/>
        <v>0</v>
      </c>
      <c r="I294" s="149">
        <f>I295+I296+I297+I298</f>
        <v>0</v>
      </c>
      <c r="J294" s="149">
        <f t="shared" si="77"/>
        <v>0</v>
      </c>
      <c r="K294" s="84"/>
      <c r="L294" s="73"/>
    </row>
    <row r="295" spans="1:12" ht="29.25" customHeight="1" x14ac:dyDescent="0.3">
      <c r="A295" s="307"/>
      <c r="B295" s="277"/>
      <c r="C295" s="85" t="s">
        <v>174</v>
      </c>
      <c r="D295" s="149">
        <v>0</v>
      </c>
      <c r="E295" s="149">
        <v>0</v>
      </c>
      <c r="F295" s="151">
        <v>0</v>
      </c>
      <c r="G295" s="151">
        <v>0</v>
      </c>
      <c r="H295" s="151">
        <v>0</v>
      </c>
      <c r="I295" s="151">
        <v>0</v>
      </c>
      <c r="J295" s="151">
        <f t="shared" ref="J295:J303" si="78">SUM(D295:I295)</f>
        <v>0</v>
      </c>
      <c r="K295" s="84"/>
      <c r="L295" s="73"/>
    </row>
    <row r="296" spans="1:12" ht="24.75" customHeight="1" x14ac:dyDescent="0.3">
      <c r="A296" s="307"/>
      <c r="B296" s="277"/>
      <c r="C296" s="85" t="s">
        <v>175</v>
      </c>
      <c r="D296" s="149">
        <v>0</v>
      </c>
      <c r="E296" s="149">
        <v>0</v>
      </c>
      <c r="F296" s="151">
        <v>0</v>
      </c>
      <c r="G296" s="151">
        <v>0</v>
      </c>
      <c r="H296" s="151">
        <v>0</v>
      </c>
      <c r="I296" s="151">
        <v>0</v>
      </c>
      <c r="J296" s="151">
        <f t="shared" si="78"/>
        <v>0</v>
      </c>
      <c r="K296" s="84"/>
      <c r="L296" s="73"/>
    </row>
    <row r="297" spans="1:12" ht="24.75" customHeight="1" x14ac:dyDescent="0.3">
      <c r="A297" s="307"/>
      <c r="B297" s="277"/>
      <c r="C297" s="83" t="s">
        <v>176</v>
      </c>
      <c r="D297" s="149">
        <v>0</v>
      </c>
      <c r="E297" s="149">
        <v>0</v>
      </c>
      <c r="F297" s="151">
        <v>0</v>
      </c>
      <c r="G297" s="151">
        <v>0</v>
      </c>
      <c r="H297" s="151">
        <v>0</v>
      </c>
      <c r="I297" s="151">
        <v>0</v>
      </c>
      <c r="J297" s="151">
        <f t="shared" si="78"/>
        <v>0</v>
      </c>
      <c r="K297" s="84"/>
      <c r="L297" s="73"/>
    </row>
    <row r="298" spans="1:12" ht="24" customHeight="1" x14ac:dyDescent="0.3">
      <c r="A298" s="307"/>
      <c r="B298" s="277"/>
      <c r="C298" s="83" t="s">
        <v>177</v>
      </c>
      <c r="D298" s="149">
        <v>0</v>
      </c>
      <c r="E298" s="149">
        <v>0</v>
      </c>
      <c r="F298" s="151">
        <v>0</v>
      </c>
      <c r="G298" s="151">
        <v>0</v>
      </c>
      <c r="H298" s="151">
        <v>0</v>
      </c>
      <c r="I298" s="151">
        <v>0</v>
      </c>
      <c r="J298" s="151">
        <f t="shared" si="78"/>
        <v>0</v>
      </c>
      <c r="K298" s="84"/>
      <c r="L298" s="73"/>
    </row>
    <row r="299" spans="1:12" ht="24" customHeight="1" x14ac:dyDescent="0.3">
      <c r="A299" s="308" t="s">
        <v>195</v>
      </c>
      <c r="B299" s="284" t="s">
        <v>74</v>
      </c>
      <c r="C299" s="83" t="s">
        <v>173</v>
      </c>
      <c r="D299" s="149">
        <v>0</v>
      </c>
      <c r="E299" s="149">
        <f>E300+E301+E302+E303</f>
        <v>124.35000000000001</v>
      </c>
      <c r="F299" s="151">
        <v>0</v>
      </c>
      <c r="G299" s="149">
        <f>G300+G301+G302+G303</f>
        <v>98.42</v>
      </c>
      <c r="H299" s="151">
        <v>0</v>
      </c>
      <c r="I299" s="151">
        <v>0</v>
      </c>
      <c r="J299" s="151">
        <f t="shared" si="78"/>
        <v>222.77</v>
      </c>
      <c r="K299" s="84"/>
      <c r="L299" s="73"/>
    </row>
    <row r="300" spans="1:12" ht="24" customHeight="1" x14ac:dyDescent="0.3">
      <c r="A300" s="309"/>
      <c r="B300" s="285"/>
      <c r="C300" s="85" t="s">
        <v>174</v>
      </c>
      <c r="D300" s="149">
        <v>0</v>
      </c>
      <c r="E300" s="149">
        <v>0</v>
      </c>
      <c r="F300" s="151">
        <v>0</v>
      </c>
      <c r="G300" s="151">
        <v>0</v>
      </c>
      <c r="H300" s="151">
        <v>0</v>
      </c>
      <c r="I300" s="151">
        <v>0</v>
      </c>
      <c r="J300" s="151">
        <f t="shared" si="78"/>
        <v>0</v>
      </c>
      <c r="K300" s="84"/>
      <c r="L300" s="73"/>
    </row>
    <row r="301" spans="1:12" ht="24" customHeight="1" x14ac:dyDescent="0.3">
      <c r="A301" s="309"/>
      <c r="B301" s="285"/>
      <c r="C301" s="85" t="s">
        <v>175</v>
      </c>
      <c r="D301" s="149">
        <v>0</v>
      </c>
      <c r="E301" s="149">
        <v>0</v>
      </c>
      <c r="F301" s="151">
        <v>0</v>
      </c>
      <c r="G301" s="151">
        <v>0</v>
      </c>
      <c r="H301" s="151">
        <v>0</v>
      </c>
      <c r="I301" s="151">
        <v>0</v>
      </c>
      <c r="J301" s="151">
        <f t="shared" si="78"/>
        <v>0</v>
      </c>
      <c r="K301" s="84"/>
      <c r="L301" s="73"/>
    </row>
    <row r="302" spans="1:12" ht="24" customHeight="1" x14ac:dyDescent="0.3">
      <c r="A302" s="309"/>
      <c r="B302" s="285"/>
      <c r="C302" s="83" t="s">
        <v>196</v>
      </c>
      <c r="D302" s="149">
        <v>0</v>
      </c>
      <c r="E302" s="149">
        <f>0+125.65-1.3</f>
        <v>124.35000000000001</v>
      </c>
      <c r="F302" s="151">
        <v>0</v>
      </c>
      <c r="G302" s="151">
        <f>84.42+14</f>
        <v>98.42</v>
      </c>
      <c r="H302" s="151">
        <v>0</v>
      </c>
      <c r="I302" s="151">
        <v>0</v>
      </c>
      <c r="J302" s="151">
        <f t="shared" si="78"/>
        <v>222.77</v>
      </c>
      <c r="K302" s="84"/>
      <c r="L302" s="73"/>
    </row>
    <row r="303" spans="1:12" ht="24" customHeight="1" x14ac:dyDescent="0.3">
      <c r="A303" s="310"/>
      <c r="B303" s="286"/>
      <c r="C303" s="83" t="s">
        <v>177</v>
      </c>
      <c r="D303" s="149">
        <v>0</v>
      </c>
      <c r="E303" s="149">
        <v>0</v>
      </c>
      <c r="F303" s="151">
        <v>0</v>
      </c>
      <c r="G303" s="151">
        <v>0</v>
      </c>
      <c r="H303" s="151">
        <v>0</v>
      </c>
      <c r="I303" s="151">
        <v>0</v>
      </c>
      <c r="J303" s="151">
        <f t="shared" si="78"/>
        <v>0</v>
      </c>
      <c r="K303" s="84"/>
      <c r="L303" s="73"/>
    </row>
    <row r="304" spans="1:12" ht="24" customHeight="1" x14ac:dyDescent="0.3">
      <c r="A304" s="308" t="s">
        <v>197</v>
      </c>
      <c r="B304" s="277" t="s">
        <v>128</v>
      </c>
      <c r="C304" s="83" t="s">
        <v>173</v>
      </c>
      <c r="D304" s="149">
        <f t="shared" ref="D304:J304" si="79">D305+D306+D307+D308</f>
        <v>0</v>
      </c>
      <c r="E304" s="149">
        <f t="shared" si="79"/>
        <v>52</v>
      </c>
      <c r="F304" s="149">
        <f t="shared" si="79"/>
        <v>0</v>
      </c>
      <c r="G304" s="149">
        <f t="shared" si="79"/>
        <v>0</v>
      </c>
      <c r="H304" s="149">
        <f t="shared" si="79"/>
        <v>0</v>
      </c>
      <c r="I304" s="149">
        <f>I305+I306+I307+I308</f>
        <v>0</v>
      </c>
      <c r="J304" s="149">
        <f t="shared" si="79"/>
        <v>52</v>
      </c>
      <c r="K304" s="84"/>
      <c r="L304" s="73"/>
    </row>
    <row r="305" spans="1:12" ht="24" customHeight="1" x14ac:dyDescent="0.3">
      <c r="A305" s="309"/>
      <c r="B305" s="277"/>
      <c r="C305" s="85" t="s">
        <v>174</v>
      </c>
      <c r="D305" s="149">
        <v>0</v>
      </c>
      <c r="E305" s="149">
        <v>0</v>
      </c>
      <c r="F305" s="151">
        <v>0</v>
      </c>
      <c r="G305" s="151">
        <v>0</v>
      </c>
      <c r="H305" s="151">
        <v>0</v>
      </c>
      <c r="I305" s="151">
        <v>0</v>
      </c>
      <c r="J305" s="151">
        <f>SUM(D305:I305)</f>
        <v>0</v>
      </c>
      <c r="K305" s="84"/>
      <c r="L305" s="73"/>
    </row>
    <row r="306" spans="1:12" ht="24" customHeight="1" x14ac:dyDescent="0.3">
      <c r="A306" s="309"/>
      <c r="B306" s="277"/>
      <c r="C306" s="85" t="s">
        <v>175</v>
      </c>
      <c r="D306" s="149">
        <v>0</v>
      </c>
      <c r="E306" s="149">
        <v>0</v>
      </c>
      <c r="F306" s="151">
        <v>0</v>
      </c>
      <c r="G306" s="151">
        <v>0</v>
      </c>
      <c r="H306" s="151">
        <v>0</v>
      </c>
      <c r="I306" s="151">
        <v>0</v>
      </c>
      <c r="J306" s="151">
        <f>SUM(D306:I306)</f>
        <v>0</v>
      </c>
      <c r="K306" s="84"/>
      <c r="L306" s="73"/>
    </row>
    <row r="307" spans="1:12" ht="24" customHeight="1" x14ac:dyDescent="0.3">
      <c r="A307" s="309"/>
      <c r="B307" s="277"/>
      <c r="C307" s="83" t="s">
        <v>196</v>
      </c>
      <c r="D307" s="149">
        <v>0</v>
      </c>
      <c r="E307" s="149">
        <v>52</v>
      </c>
      <c r="F307" s="151">
        <v>0</v>
      </c>
      <c r="G307" s="151">
        <v>0</v>
      </c>
      <c r="H307" s="151">
        <v>0</v>
      </c>
      <c r="I307" s="151">
        <v>0</v>
      </c>
      <c r="J307" s="151">
        <f>SUM(D307:I307)</f>
        <v>52</v>
      </c>
      <c r="K307" s="84"/>
      <c r="L307" s="73"/>
    </row>
    <row r="308" spans="1:12" ht="24" customHeight="1" x14ac:dyDescent="0.3">
      <c r="A308" s="310"/>
      <c r="B308" s="277"/>
      <c r="C308" s="83" t="s">
        <v>177</v>
      </c>
      <c r="D308" s="149">
        <v>0</v>
      </c>
      <c r="E308" s="149">
        <v>0</v>
      </c>
      <c r="F308" s="151">
        <v>0</v>
      </c>
      <c r="G308" s="151">
        <v>0</v>
      </c>
      <c r="H308" s="151">
        <v>0</v>
      </c>
      <c r="I308" s="151">
        <v>0</v>
      </c>
      <c r="J308" s="151">
        <f>SUM(D308:I308)</f>
        <v>0</v>
      </c>
      <c r="K308" s="84"/>
      <c r="L308" s="73"/>
    </row>
    <row r="309" spans="1:12" ht="21" customHeight="1" x14ac:dyDescent="0.3">
      <c r="A309" s="198" t="s">
        <v>300</v>
      </c>
      <c r="B309" s="283" t="s">
        <v>302</v>
      </c>
      <c r="C309" s="83" t="s">
        <v>173</v>
      </c>
      <c r="D309" s="149">
        <f t="shared" ref="D309:J309" si="80">D310+D311+D312+D313</f>
        <v>0</v>
      </c>
      <c r="E309" s="149">
        <f t="shared" si="80"/>
        <v>0</v>
      </c>
      <c r="F309" s="149">
        <f t="shared" si="80"/>
        <v>460</v>
      </c>
      <c r="G309" s="149">
        <f t="shared" si="80"/>
        <v>0</v>
      </c>
      <c r="H309" s="149">
        <f t="shared" si="80"/>
        <v>0</v>
      </c>
      <c r="I309" s="149">
        <f>I310+I311+I312+I313</f>
        <v>0</v>
      </c>
      <c r="J309" s="149">
        <f t="shared" si="80"/>
        <v>460</v>
      </c>
      <c r="K309" s="84"/>
      <c r="L309" s="73"/>
    </row>
    <row r="310" spans="1:12" ht="16.2" customHeight="1" x14ac:dyDescent="0.3">
      <c r="A310" s="198"/>
      <c r="B310" s="280"/>
      <c r="C310" s="85" t="s">
        <v>174</v>
      </c>
      <c r="D310" s="149">
        <v>0</v>
      </c>
      <c r="E310" s="149">
        <v>0</v>
      </c>
      <c r="F310" s="151">
        <v>0</v>
      </c>
      <c r="G310" s="151">
        <v>0</v>
      </c>
      <c r="H310" s="151">
        <v>0</v>
      </c>
      <c r="I310" s="151">
        <v>0</v>
      </c>
      <c r="J310" s="151">
        <f>SUM(D310:I310)</f>
        <v>0</v>
      </c>
      <c r="K310" s="84"/>
      <c r="L310" s="73"/>
    </row>
    <row r="311" spans="1:12" ht="16.2" customHeight="1" x14ac:dyDescent="0.3">
      <c r="A311" s="198"/>
      <c r="B311" s="280"/>
      <c r="C311" s="85" t="s">
        <v>175</v>
      </c>
      <c r="D311" s="149">
        <v>0</v>
      </c>
      <c r="E311" s="149">
        <v>0</v>
      </c>
      <c r="F311" s="151"/>
      <c r="G311" s="151">
        <v>0</v>
      </c>
      <c r="H311" s="151">
        <v>0</v>
      </c>
      <c r="I311" s="151">
        <v>0</v>
      </c>
      <c r="J311" s="151">
        <f>SUM(D311:I311)</f>
        <v>0</v>
      </c>
      <c r="K311" s="84"/>
      <c r="L311" s="73"/>
    </row>
    <row r="312" spans="1:12" ht="18.75" customHeight="1" x14ac:dyDescent="0.3">
      <c r="A312" s="198"/>
      <c r="B312" s="280"/>
      <c r="C312" s="83" t="s">
        <v>176</v>
      </c>
      <c r="D312" s="149">
        <v>0</v>
      </c>
      <c r="E312" s="149">
        <v>0</v>
      </c>
      <c r="F312" s="151">
        <f>0+460</f>
        <v>460</v>
      </c>
      <c r="G312" s="151">
        <v>0</v>
      </c>
      <c r="H312" s="151">
        <v>0</v>
      </c>
      <c r="I312" s="151">
        <v>0</v>
      </c>
      <c r="J312" s="151">
        <f>SUM(D312:I312)</f>
        <v>460</v>
      </c>
      <c r="K312" s="84"/>
      <c r="L312" s="73"/>
    </row>
    <row r="313" spans="1:12" ht="20.25" customHeight="1" x14ac:dyDescent="0.3">
      <c r="A313" s="198"/>
      <c r="B313" s="281"/>
      <c r="C313" s="83" t="s">
        <v>177</v>
      </c>
      <c r="D313" s="149">
        <v>0</v>
      </c>
      <c r="E313" s="149">
        <v>0</v>
      </c>
      <c r="F313" s="151">
        <v>0</v>
      </c>
      <c r="G313" s="151">
        <v>0</v>
      </c>
      <c r="H313" s="151">
        <v>0</v>
      </c>
      <c r="I313" s="151">
        <v>0</v>
      </c>
      <c r="J313" s="151">
        <f>SUM(D313:I313)</f>
        <v>0</v>
      </c>
      <c r="K313" s="84"/>
      <c r="L313" s="73"/>
    </row>
    <row r="314" spans="1:12" ht="24" customHeight="1" x14ac:dyDescent="0.3">
      <c r="A314" s="308" t="s">
        <v>140</v>
      </c>
      <c r="B314" s="304" t="s">
        <v>198</v>
      </c>
      <c r="C314" s="83" t="s">
        <v>173</v>
      </c>
      <c r="D314" s="149">
        <f t="shared" ref="D314:J314" si="81">D315+D316+D317+D318</f>
        <v>0</v>
      </c>
      <c r="E314" s="149">
        <f t="shared" si="81"/>
        <v>401.1</v>
      </c>
      <c r="F314" s="149">
        <f t="shared" si="81"/>
        <v>1088.1835900000001</v>
      </c>
      <c r="G314" s="149">
        <f t="shared" si="81"/>
        <v>1736.19</v>
      </c>
      <c r="H314" s="149">
        <f t="shared" si="81"/>
        <v>1736.19</v>
      </c>
      <c r="I314" s="149">
        <f>I315+I316+I317+I318</f>
        <v>1736.19</v>
      </c>
      <c r="J314" s="149">
        <f t="shared" si="81"/>
        <v>6697.8535900000006</v>
      </c>
      <c r="K314" s="84"/>
      <c r="L314" s="73"/>
    </row>
    <row r="315" spans="1:12" ht="24" customHeight="1" x14ac:dyDescent="0.3">
      <c r="A315" s="309"/>
      <c r="B315" s="305"/>
      <c r="C315" s="85" t="s">
        <v>174</v>
      </c>
      <c r="D315" s="149">
        <v>0</v>
      </c>
      <c r="E315" s="149">
        <v>0</v>
      </c>
      <c r="F315" s="151">
        <v>0</v>
      </c>
      <c r="G315" s="151">
        <v>0</v>
      </c>
      <c r="H315" s="151">
        <v>0</v>
      </c>
      <c r="I315" s="151">
        <v>0</v>
      </c>
      <c r="J315" s="151">
        <v>0</v>
      </c>
      <c r="K315" s="84"/>
      <c r="L315" s="73"/>
    </row>
    <row r="316" spans="1:12" ht="24" customHeight="1" x14ac:dyDescent="0.3">
      <c r="A316" s="309"/>
      <c r="B316" s="305"/>
      <c r="C316" s="85" t="s">
        <v>175</v>
      </c>
      <c r="D316" s="149">
        <v>0</v>
      </c>
      <c r="E316" s="149">
        <v>0</v>
      </c>
      <c r="F316" s="151">
        <v>0</v>
      </c>
      <c r="G316" s="151">
        <v>0</v>
      </c>
      <c r="H316" s="151">
        <v>0</v>
      </c>
      <c r="I316" s="151">
        <v>0</v>
      </c>
      <c r="J316" s="151">
        <v>0</v>
      </c>
      <c r="K316" s="84"/>
      <c r="L316" s="73"/>
    </row>
    <row r="317" spans="1:12" ht="24" customHeight="1" x14ac:dyDescent="0.3">
      <c r="A317" s="309"/>
      <c r="B317" s="305"/>
      <c r="C317" s="83" t="s">
        <v>196</v>
      </c>
      <c r="D317" s="149">
        <v>0</v>
      </c>
      <c r="E317" s="149">
        <v>401.1</v>
      </c>
      <c r="F317" s="151">
        <f>1203-114.81641</f>
        <v>1088.1835900000001</v>
      </c>
      <c r="G317" s="151">
        <v>1736.19</v>
      </c>
      <c r="H317" s="151">
        <v>1736.19</v>
      </c>
      <c r="I317" s="151">
        <v>1736.19</v>
      </c>
      <c r="J317" s="151">
        <f>D317+E317+F317+G317+H317+I317</f>
        <v>6697.8535900000006</v>
      </c>
      <c r="K317" s="84"/>
      <c r="L317" s="73"/>
    </row>
    <row r="318" spans="1:12" ht="24" customHeight="1" x14ac:dyDescent="0.3">
      <c r="A318" s="310"/>
      <c r="B318" s="306"/>
      <c r="C318" s="83" t="s">
        <v>177</v>
      </c>
      <c r="D318" s="149">
        <v>0</v>
      </c>
      <c r="E318" s="149">
        <v>0</v>
      </c>
      <c r="F318" s="151">
        <v>0</v>
      </c>
      <c r="G318" s="151">
        <v>0</v>
      </c>
      <c r="H318" s="151">
        <v>0</v>
      </c>
      <c r="I318" s="151">
        <v>0</v>
      </c>
      <c r="J318" s="151">
        <v>0</v>
      </c>
      <c r="K318" s="84"/>
      <c r="L318" s="73"/>
    </row>
    <row r="319" spans="1:12" ht="23.25" customHeight="1" x14ac:dyDescent="0.3">
      <c r="A319" s="320"/>
      <c r="B319" s="304" t="s">
        <v>199</v>
      </c>
      <c r="C319" s="80" t="s">
        <v>173</v>
      </c>
      <c r="D319" s="148">
        <v>0</v>
      </c>
      <c r="E319" s="148">
        <f>E323+E322+E321+E320</f>
        <v>0</v>
      </c>
      <c r="F319" s="153">
        <v>0</v>
      </c>
      <c r="G319" s="153">
        <v>0</v>
      </c>
      <c r="H319" s="153">
        <v>0</v>
      </c>
      <c r="I319" s="153">
        <v>0</v>
      </c>
      <c r="J319" s="153">
        <f t="shared" ref="J319:J328" si="82">SUM(D319:I319)</f>
        <v>0</v>
      </c>
      <c r="K319" s="81"/>
      <c r="L319" s="73"/>
    </row>
    <row r="320" spans="1:12" ht="23.25" customHeight="1" x14ac:dyDescent="0.3">
      <c r="A320" s="321"/>
      <c r="B320" s="305"/>
      <c r="C320" s="82" t="s">
        <v>174</v>
      </c>
      <c r="D320" s="148">
        <v>0</v>
      </c>
      <c r="E320" s="148">
        <v>0</v>
      </c>
      <c r="F320" s="153">
        <v>0</v>
      </c>
      <c r="G320" s="153">
        <v>0</v>
      </c>
      <c r="H320" s="153">
        <v>0</v>
      </c>
      <c r="I320" s="153">
        <v>0</v>
      </c>
      <c r="J320" s="153">
        <f t="shared" si="82"/>
        <v>0</v>
      </c>
      <c r="K320" s="81"/>
      <c r="L320" s="73"/>
    </row>
    <row r="321" spans="1:12" ht="23.25" customHeight="1" x14ac:dyDescent="0.3">
      <c r="A321" s="321"/>
      <c r="B321" s="305"/>
      <c r="C321" s="82" t="s">
        <v>175</v>
      </c>
      <c r="D321" s="148">
        <v>0</v>
      </c>
      <c r="E321" s="148">
        <v>0</v>
      </c>
      <c r="F321" s="153">
        <v>0</v>
      </c>
      <c r="G321" s="153">
        <v>0</v>
      </c>
      <c r="H321" s="153">
        <v>0</v>
      </c>
      <c r="I321" s="153">
        <v>0</v>
      </c>
      <c r="J321" s="153">
        <f t="shared" si="82"/>
        <v>0</v>
      </c>
      <c r="K321" s="81"/>
      <c r="L321" s="73"/>
    </row>
    <row r="322" spans="1:12" ht="23.25" customHeight="1" x14ac:dyDescent="0.3">
      <c r="A322" s="321"/>
      <c r="B322" s="305"/>
      <c r="C322" s="80" t="s">
        <v>176</v>
      </c>
      <c r="D322" s="148">
        <v>0</v>
      </c>
      <c r="E322" s="148">
        <v>0</v>
      </c>
      <c r="F322" s="153">
        <v>0</v>
      </c>
      <c r="G322" s="153">
        <v>0</v>
      </c>
      <c r="H322" s="153">
        <v>0</v>
      </c>
      <c r="I322" s="153">
        <v>0</v>
      </c>
      <c r="J322" s="153">
        <f t="shared" si="82"/>
        <v>0</v>
      </c>
      <c r="K322" s="81"/>
      <c r="L322" s="73"/>
    </row>
    <row r="323" spans="1:12" ht="23.25" customHeight="1" x14ac:dyDescent="0.3">
      <c r="A323" s="322"/>
      <c r="B323" s="306"/>
      <c r="C323" s="80" t="s">
        <v>177</v>
      </c>
      <c r="D323" s="148">
        <v>0</v>
      </c>
      <c r="E323" s="148">
        <v>0</v>
      </c>
      <c r="F323" s="153">
        <v>0</v>
      </c>
      <c r="G323" s="153">
        <v>0</v>
      </c>
      <c r="H323" s="153">
        <v>0</v>
      </c>
      <c r="I323" s="153">
        <v>0</v>
      </c>
      <c r="J323" s="153">
        <f t="shared" si="82"/>
        <v>0</v>
      </c>
      <c r="K323" s="81"/>
      <c r="L323" s="73"/>
    </row>
    <row r="324" spans="1:12" ht="23.25" customHeight="1" x14ac:dyDescent="0.3">
      <c r="A324" s="320"/>
      <c r="B324" s="284" t="s">
        <v>200</v>
      </c>
      <c r="C324" s="83" t="s">
        <v>173</v>
      </c>
      <c r="D324" s="149">
        <v>0</v>
      </c>
      <c r="E324" s="149">
        <f>E328+E327+E326+E325</f>
        <v>0</v>
      </c>
      <c r="F324" s="151">
        <v>0</v>
      </c>
      <c r="G324" s="151">
        <v>0</v>
      </c>
      <c r="H324" s="151">
        <v>0</v>
      </c>
      <c r="I324" s="151">
        <v>0</v>
      </c>
      <c r="J324" s="151">
        <f t="shared" si="82"/>
        <v>0</v>
      </c>
      <c r="K324" s="84"/>
      <c r="L324" s="73"/>
    </row>
    <row r="325" spans="1:12" ht="23.25" customHeight="1" x14ac:dyDescent="0.3">
      <c r="A325" s="321"/>
      <c r="B325" s="285"/>
      <c r="C325" s="85" t="s">
        <v>174</v>
      </c>
      <c r="D325" s="149">
        <v>0</v>
      </c>
      <c r="E325" s="149">
        <v>0</v>
      </c>
      <c r="F325" s="151">
        <v>0</v>
      </c>
      <c r="G325" s="151">
        <v>0</v>
      </c>
      <c r="H325" s="151">
        <v>0</v>
      </c>
      <c r="I325" s="151">
        <v>0</v>
      </c>
      <c r="J325" s="151">
        <f t="shared" si="82"/>
        <v>0</v>
      </c>
      <c r="K325" s="84"/>
      <c r="L325" s="73"/>
    </row>
    <row r="326" spans="1:12" ht="23.25" customHeight="1" x14ac:dyDescent="0.3">
      <c r="A326" s="321"/>
      <c r="B326" s="285"/>
      <c r="C326" s="85" t="s">
        <v>175</v>
      </c>
      <c r="D326" s="149">
        <v>0</v>
      </c>
      <c r="E326" s="149">
        <v>0</v>
      </c>
      <c r="F326" s="151">
        <v>0</v>
      </c>
      <c r="G326" s="151">
        <v>0</v>
      </c>
      <c r="H326" s="151">
        <v>0</v>
      </c>
      <c r="I326" s="151">
        <v>0</v>
      </c>
      <c r="J326" s="151">
        <f t="shared" si="82"/>
        <v>0</v>
      </c>
      <c r="K326" s="84"/>
      <c r="L326" s="73"/>
    </row>
    <row r="327" spans="1:12" ht="23.25" customHeight="1" x14ac:dyDescent="0.3">
      <c r="A327" s="321"/>
      <c r="B327" s="285"/>
      <c r="C327" s="83" t="s">
        <v>176</v>
      </c>
      <c r="D327" s="149">
        <v>0</v>
      </c>
      <c r="E327" s="149">
        <v>0</v>
      </c>
      <c r="F327" s="151">
        <v>0</v>
      </c>
      <c r="G327" s="151">
        <v>0</v>
      </c>
      <c r="H327" s="151">
        <v>0</v>
      </c>
      <c r="I327" s="151">
        <v>0</v>
      </c>
      <c r="J327" s="151">
        <f t="shared" si="82"/>
        <v>0</v>
      </c>
      <c r="K327" s="84"/>
      <c r="L327" s="73"/>
    </row>
    <row r="328" spans="1:12" ht="23.25" customHeight="1" x14ac:dyDescent="0.3">
      <c r="A328" s="322"/>
      <c r="B328" s="286"/>
      <c r="C328" s="83" t="s">
        <v>177</v>
      </c>
      <c r="D328" s="149">
        <v>0</v>
      </c>
      <c r="E328" s="149">
        <v>0</v>
      </c>
      <c r="F328" s="151">
        <v>0</v>
      </c>
      <c r="G328" s="151">
        <v>0</v>
      </c>
      <c r="H328" s="151">
        <v>0</v>
      </c>
      <c r="I328" s="151">
        <v>0</v>
      </c>
      <c r="J328" s="151">
        <f t="shared" si="82"/>
        <v>0</v>
      </c>
      <c r="K328" s="84"/>
      <c r="L328" s="73"/>
    </row>
    <row r="329" spans="1:12" ht="23.25" customHeight="1" x14ac:dyDescent="0.3">
      <c r="A329" s="323" t="s">
        <v>143</v>
      </c>
      <c r="B329" s="268" t="s">
        <v>144</v>
      </c>
      <c r="C329" s="80" t="s">
        <v>173</v>
      </c>
      <c r="D329" s="148">
        <f t="shared" ref="D329:J329" si="83">D334+D359+D369</f>
        <v>21209.079000000002</v>
      </c>
      <c r="E329" s="148">
        <f t="shared" si="83"/>
        <v>22817.95</v>
      </c>
      <c r="F329" s="148">
        <f t="shared" si="83"/>
        <v>25820.885780000001</v>
      </c>
      <c r="G329" s="148">
        <f t="shared" si="83"/>
        <v>25883.649000000001</v>
      </c>
      <c r="H329" s="148">
        <f t="shared" si="83"/>
        <v>24128.236000000001</v>
      </c>
      <c r="I329" s="148">
        <f>I334+I359+I369</f>
        <v>23263.103000000003</v>
      </c>
      <c r="J329" s="148">
        <f t="shared" si="83"/>
        <v>143122.90277999997</v>
      </c>
      <c r="K329" s="81"/>
      <c r="L329" s="73"/>
    </row>
    <row r="330" spans="1:12" ht="26.25" customHeight="1" x14ac:dyDescent="0.3">
      <c r="A330" s="323"/>
      <c r="B330" s="268"/>
      <c r="C330" s="82" t="s">
        <v>174</v>
      </c>
      <c r="D330" s="148">
        <f t="shared" ref="D330:H333" si="84">D335+D360+D370</f>
        <v>0</v>
      </c>
      <c r="E330" s="148">
        <f t="shared" si="84"/>
        <v>0</v>
      </c>
      <c r="F330" s="148">
        <f t="shared" si="84"/>
        <v>0</v>
      </c>
      <c r="G330" s="148">
        <f t="shared" si="84"/>
        <v>0</v>
      </c>
      <c r="H330" s="148">
        <f t="shared" si="84"/>
        <v>0</v>
      </c>
      <c r="I330" s="148">
        <f t="shared" ref="I330:J331" si="85">I335+I360+I370</f>
        <v>0</v>
      </c>
      <c r="J330" s="148">
        <f t="shared" si="85"/>
        <v>0</v>
      </c>
      <c r="K330" s="81"/>
      <c r="L330" s="73"/>
    </row>
    <row r="331" spans="1:12" ht="18.75" customHeight="1" x14ac:dyDescent="0.3">
      <c r="A331" s="323"/>
      <c r="B331" s="268"/>
      <c r="C331" s="82" t="s">
        <v>175</v>
      </c>
      <c r="D331" s="148">
        <f t="shared" si="84"/>
        <v>1938.4</v>
      </c>
      <c r="E331" s="148">
        <f t="shared" si="84"/>
        <v>1750</v>
      </c>
      <c r="F331" s="148">
        <f t="shared" si="84"/>
        <v>657</v>
      </c>
      <c r="G331" s="148">
        <f t="shared" si="84"/>
        <v>1685</v>
      </c>
      <c r="H331" s="148">
        <f t="shared" si="84"/>
        <v>1310</v>
      </c>
      <c r="I331" s="148">
        <f t="shared" si="85"/>
        <v>1310</v>
      </c>
      <c r="J331" s="148">
        <f t="shared" si="85"/>
        <v>8650.4</v>
      </c>
      <c r="K331" s="81"/>
      <c r="L331" s="73"/>
    </row>
    <row r="332" spans="1:12" ht="31.5" customHeight="1" x14ac:dyDescent="0.3">
      <c r="A332" s="323"/>
      <c r="B332" s="268"/>
      <c r="C332" s="80" t="s">
        <v>176</v>
      </c>
      <c r="D332" s="148">
        <f>D337+D362+D372</f>
        <v>19270.679</v>
      </c>
      <c r="E332" s="148">
        <f t="shared" si="84"/>
        <v>21067.95</v>
      </c>
      <c r="F332" s="148">
        <f t="shared" si="84"/>
        <v>25163.885780000001</v>
      </c>
      <c r="G332" s="148">
        <f t="shared" si="84"/>
        <v>24198.649000000001</v>
      </c>
      <c r="H332" s="148">
        <f>H337+H362+H372</f>
        <v>22818.236000000001</v>
      </c>
      <c r="I332" s="148">
        <f>I337+I362+I372</f>
        <v>21953.103000000003</v>
      </c>
      <c r="J332" s="148">
        <f>J337+J362+J372</f>
        <v>134472.50277999998</v>
      </c>
      <c r="K332" s="81"/>
      <c r="L332" s="73"/>
    </row>
    <row r="333" spans="1:12" ht="23.25" customHeight="1" x14ac:dyDescent="0.3">
      <c r="A333" s="323"/>
      <c r="B333" s="268"/>
      <c r="C333" s="80" t="s">
        <v>177</v>
      </c>
      <c r="D333" s="148">
        <f t="shared" si="84"/>
        <v>0</v>
      </c>
      <c r="E333" s="148">
        <f t="shared" ref="E333:I334" si="86">E338+E343+E348+E353</f>
        <v>0</v>
      </c>
      <c r="F333" s="148">
        <f t="shared" si="86"/>
        <v>0</v>
      </c>
      <c r="G333" s="148">
        <f t="shared" si="86"/>
        <v>0</v>
      </c>
      <c r="H333" s="148">
        <f t="shared" si="84"/>
        <v>0</v>
      </c>
      <c r="I333" s="148">
        <f>I338+I363+I373</f>
        <v>0</v>
      </c>
      <c r="J333" s="148">
        <f>SUM(D333:I333)</f>
        <v>0</v>
      </c>
      <c r="K333" s="81"/>
      <c r="L333" s="73"/>
    </row>
    <row r="334" spans="1:12" ht="29.25" customHeight="1" x14ac:dyDescent="0.3">
      <c r="A334" s="307" t="s">
        <v>16</v>
      </c>
      <c r="B334" s="268" t="s">
        <v>145</v>
      </c>
      <c r="C334" s="80" t="s">
        <v>173</v>
      </c>
      <c r="D334" s="148">
        <f>D339+D344+D349+D354</f>
        <v>19196.679</v>
      </c>
      <c r="E334" s="148">
        <f t="shared" si="86"/>
        <v>20943.95</v>
      </c>
      <c r="F334" s="148">
        <f>F339+F344+F349+F354</f>
        <v>25038.885780000001</v>
      </c>
      <c r="G334" s="148">
        <f t="shared" si="86"/>
        <v>24073.649000000001</v>
      </c>
      <c r="H334" s="148">
        <f t="shared" si="86"/>
        <v>22693.236000000001</v>
      </c>
      <c r="I334" s="148">
        <f t="shared" si="86"/>
        <v>21828.103000000003</v>
      </c>
      <c r="J334" s="148">
        <f>J339+J344+J349+J354</f>
        <v>133774.50277999998</v>
      </c>
      <c r="K334" s="81"/>
      <c r="L334" s="73"/>
    </row>
    <row r="335" spans="1:12" ht="21" customHeight="1" x14ac:dyDescent="0.3">
      <c r="A335" s="307"/>
      <c r="B335" s="268"/>
      <c r="C335" s="82" t="s">
        <v>174</v>
      </c>
      <c r="D335" s="148">
        <f t="shared" ref="D335:H338" si="87">D340+D345+D350+D355</f>
        <v>0</v>
      </c>
      <c r="E335" s="148">
        <f t="shared" si="87"/>
        <v>0</v>
      </c>
      <c r="F335" s="148">
        <f t="shared" si="87"/>
        <v>0</v>
      </c>
      <c r="G335" s="148">
        <f t="shared" si="87"/>
        <v>0</v>
      </c>
      <c r="H335" s="148">
        <f t="shared" si="87"/>
        <v>0</v>
      </c>
      <c r="I335" s="148">
        <f t="shared" ref="I335:J338" si="88">I340+I345+I350+I355</f>
        <v>0</v>
      </c>
      <c r="J335" s="148">
        <f t="shared" si="88"/>
        <v>0</v>
      </c>
      <c r="K335" s="81"/>
      <c r="L335" s="73"/>
    </row>
    <row r="336" spans="1:12" ht="21" customHeight="1" x14ac:dyDescent="0.3">
      <c r="A336" s="307"/>
      <c r="B336" s="268"/>
      <c r="C336" s="82" t="s">
        <v>175</v>
      </c>
      <c r="D336" s="148">
        <f t="shared" si="87"/>
        <v>0</v>
      </c>
      <c r="E336" s="148">
        <f t="shared" si="87"/>
        <v>0</v>
      </c>
      <c r="F336" s="148">
        <f t="shared" si="87"/>
        <v>0</v>
      </c>
      <c r="G336" s="148">
        <f t="shared" si="87"/>
        <v>0</v>
      </c>
      <c r="H336" s="148">
        <f t="shared" si="87"/>
        <v>0</v>
      </c>
      <c r="I336" s="148">
        <f t="shared" si="88"/>
        <v>0</v>
      </c>
      <c r="J336" s="148">
        <f t="shared" si="88"/>
        <v>0</v>
      </c>
      <c r="K336" s="81"/>
      <c r="L336" s="73"/>
    </row>
    <row r="337" spans="1:12" ht="28.5" customHeight="1" x14ac:dyDescent="0.3">
      <c r="A337" s="307"/>
      <c r="B337" s="268"/>
      <c r="C337" s="80" t="s">
        <v>176</v>
      </c>
      <c r="D337" s="148">
        <f>D342+D347+D352+D357</f>
        <v>19196.679</v>
      </c>
      <c r="E337" s="148">
        <f t="shared" si="87"/>
        <v>20943.95</v>
      </c>
      <c r="F337" s="148">
        <f>F342+F347+F352+F357</f>
        <v>25038.885780000001</v>
      </c>
      <c r="G337" s="148">
        <f t="shared" si="87"/>
        <v>24073.649000000001</v>
      </c>
      <c r="H337" s="148">
        <f t="shared" si="87"/>
        <v>22693.236000000001</v>
      </c>
      <c r="I337" s="148">
        <f t="shared" si="88"/>
        <v>21828.103000000003</v>
      </c>
      <c r="J337" s="148">
        <f t="shared" si="88"/>
        <v>133774.50277999998</v>
      </c>
      <c r="K337" s="81"/>
      <c r="L337" s="73"/>
    </row>
    <row r="338" spans="1:12" ht="21" customHeight="1" x14ac:dyDescent="0.3">
      <c r="A338" s="307"/>
      <c r="B338" s="268"/>
      <c r="C338" s="80" t="s">
        <v>177</v>
      </c>
      <c r="D338" s="148">
        <f t="shared" si="87"/>
        <v>0</v>
      </c>
      <c r="E338" s="148">
        <f t="shared" si="87"/>
        <v>0</v>
      </c>
      <c r="F338" s="148">
        <f t="shared" si="87"/>
        <v>0</v>
      </c>
      <c r="G338" s="148">
        <f t="shared" si="87"/>
        <v>0</v>
      </c>
      <c r="H338" s="148">
        <f t="shared" si="87"/>
        <v>0</v>
      </c>
      <c r="I338" s="148">
        <f t="shared" si="88"/>
        <v>0</v>
      </c>
      <c r="J338" s="148">
        <f t="shared" si="88"/>
        <v>0</v>
      </c>
      <c r="K338" s="81"/>
      <c r="L338" s="73"/>
    </row>
    <row r="339" spans="1:12" ht="15.6" x14ac:dyDescent="0.3">
      <c r="A339" s="307" t="s">
        <v>147</v>
      </c>
      <c r="B339" s="277" t="s">
        <v>148</v>
      </c>
      <c r="C339" s="83" t="s">
        <v>173</v>
      </c>
      <c r="D339" s="149">
        <f t="shared" ref="D339:J339" si="89">D340+D341+D342+D343</f>
        <v>3652.44</v>
      </c>
      <c r="E339" s="149">
        <f t="shared" si="89"/>
        <v>4738.29</v>
      </c>
      <c r="F339" s="149">
        <f t="shared" si="89"/>
        <v>6894.7489999999998</v>
      </c>
      <c r="G339" s="149">
        <f t="shared" si="89"/>
        <v>5536.1840000000002</v>
      </c>
      <c r="H339" s="149">
        <f t="shared" si="89"/>
        <v>5442.4269999999997</v>
      </c>
      <c r="I339" s="149">
        <f t="shared" si="89"/>
        <v>5362.924</v>
      </c>
      <c r="J339" s="149">
        <f t="shared" si="89"/>
        <v>31627.013999999999</v>
      </c>
      <c r="K339" s="84"/>
      <c r="L339" s="73"/>
    </row>
    <row r="340" spans="1:12" ht="24" customHeight="1" x14ac:dyDescent="0.3">
      <c r="A340" s="307"/>
      <c r="B340" s="277"/>
      <c r="C340" s="85" t="s">
        <v>174</v>
      </c>
      <c r="D340" s="149">
        <v>0</v>
      </c>
      <c r="E340" s="149">
        <v>0</v>
      </c>
      <c r="F340" s="151">
        <v>0</v>
      </c>
      <c r="G340" s="151">
        <v>0</v>
      </c>
      <c r="H340" s="151">
        <v>0</v>
      </c>
      <c r="I340" s="151">
        <v>0</v>
      </c>
      <c r="J340" s="151">
        <f>SUM(D340:I340)</f>
        <v>0</v>
      </c>
      <c r="K340" s="84"/>
      <c r="L340" s="73"/>
    </row>
    <row r="341" spans="1:12" ht="22.5" customHeight="1" x14ac:dyDescent="0.3">
      <c r="A341" s="307"/>
      <c r="B341" s="277"/>
      <c r="C341" s="85" t="s">
        <v>175</v>
      </c>
      <c r="D341" s="149">
        <v>0</v>
      </c>
      <c r="E341" s="149">
        <v>0</v>
      </c>
      <c r="F341" s="151">
        <v>0</v>
      </c>
      <c r="G341" s="151">
        <v>0</v>
      </c>
      <c r="H341" s="151">
        <v>0</v>
      </c>
      <c r="I341" s="151">
        <v>0</v>
      </c>
      <c r="J341" s="151">
        <f>SUM(D341:I341)</f>
        <v>0</v>
      </c>
      <c r="K341" s="84"/>
      <c r="L341" s="73"/>
    </row>
    <row r="342" spans="1:12" ht="27" customHeight="1" x14ac:dyDescent="0.3">
      <c r="A342" s="307"/>
      <c r="B342" s="277"/>
      <c r="C342" s="83" t="s">
        <v>176</v>
      </c>
      <c r="D342" s="149">
        <f>3460.9+62.94+28+90.6+10</f>
        <v>3652.44</v>
      </c>
      <c r="E342" s="149">
        <f>3419+210+200+952.65+97.37-140.73</f>
        <v>4738.29</v>
      </c>
      <c r="F342" s="151">
        <f>5189.242+1200+220.4+134.136+150.971</f>
        <v>6894.7489999999998</v>
      </c>
      <c r="G342" s="151">
        <f>5400.41+135.774</f>
        <v>5536.1840000000002</v>
      </c>
      <c r="H342" s="151">
        <v>5442.4269999999997</v>
      </c>
      <c r="I342" s="151">
        <v>5362.924</v>
      </c>
      <c r="J342" s="151">
        <f>SUM(D342:I342)</f>
        <v>31627.013999999999</v>
      </c>
      <c r="K342" s="84"/>
      <c r="L342" s="73"/>
    </row>
    <row r="343" spans="1:12" ht="24.75" customHeight="1" x14ac:dyDescent="0.3">
      <c r="A343" s="307"/>
      <c r="B343" s="277"/>
      <c r="C343" s="83" t="s">
        <v>177</v>
      </c>
      <c r="D343" s="149">
        <v>0</v>
      </c>
      <c r="E343" s="149">
        <v>0</v>
      </c>
      <c r="F343" s="151">
        <v>0</v>
      </c>
      <c r="G343" s="151">
        <v>0</v>
      </c>
      <c r="H343" s="151">
        <v>0</v>
      </c>
      <c r="I343" s="151">
        <v>0</v>
      </c>
      <c r="J343" s="151">
        <f>SUM(D343:I343)</f>
        <v>0</v>
      </c>
      <c r="K343" s="84"/>
      <c r="L343" s="73"/>
    </row>
    <row r="344" spans="1:12" ht="33.75" customHeight="1" x14ac:dyDescent="0.3">
      <c r="A344" s="307" t="s">
        <v>151</v>
      </c>
      <c r="B344" s="277" t="s">
        <v>152</v>
      </c>
      <c r="C344" s="83" t="s">
        <v>173</v>
      </c>
      <c r="D344" s="149">
        <f t="shared" ref="D344:J344" si="90">D345+D346+D347+D348</f>
        <v>13500.84</v>
      </c>
      <c r="E344" s="149">
        <f t="shared" si="90"/>
        <v>14131.890000000001</v>
      </c>
      <c r="F344" s="149">
        <f t="shared" si="90"/>
        <v>15860.732000000002</v>
      </c>
      <c r="G344" s="149">
        <f t="shared" si="90"/>
        <v>15964.46</v>
      </c>
      <c r="H344" s="149">
        <f t="shared" si="90"/>
        <v>14893.909</v>
      </c>
      <c r="I344" s="149">
        <f t="shared" si="90"/>
        <v>14108.279</v>
      </c>
      <c r="J344" s="149">
        <f t="shared" si="90"/>
        <v>88460.11</v>
      </c>
      <c r="K344" s="84"/>
      <c r="L344" s="73"/>
    </row>
    <row r="345" spans="1:12" ht="20.25" customHeight="1" x14ac:dyDescent="0.3">
      <c r="A345" s="307"/>
      <c r="B345" s="277"/>
      <c r="C345" s="85" t="s">
        <v>174</v>
      </c>
      <c r="D345" s="149">
        <v>0</v>
      </c>
      <c r="E345" s="149">
        <v>0</v>
      </c>
      <c r="F345" s="151">
        <v>0</v>
      </c>
      <c r="G345" s="151">
        <v>0</v>
      </c>
      <c r="H345" s="151">
        <v>0</v>
      </c>
      <c r="I345" s="151">
        <v>0</v>
      </c>
      <c r="J345" s="151">
        <f>SUM(D345:I345)</f>
        <v>0</v>
      </c>
      <c r="K345" s="84"/>
      <c r="L345" s="73"/>
    </row>
    <row r="346" spans="1:12" ht="15" customHeight="1" x14ac:dyDescent="0.3">
      <c r="A346" s="307"/>
      <c r="B346" s="277"/>
      <c r="C346" s="85" t="s">
        <v>175</v>
      </c>
      <c r="D346" s="149">
        <v>0</v>
      </c>
      <c r="E346" s="149">
        <v>0</v>
      </c>
      <c r="F346" s="151">
        <v>0</v>
      </c>
      <c r="G346" s="151">
        <v>0</v>
      </c>
      <c r="H346" s="151">
        <v>0</v>
      </c>
      <c r="I346" s="151">
        <v>0</v>
      </c>
      <c r="J346" s="151">
        <f>SUM(D346:I346)</f>
        <v>0</v>
      </c>
      <c r="K346" s="84"/>
      <c r="L346" s="73"/>
    </row>
    <row r="347" spans="1:12" ht="30.75" customHeight="1" x14ac:dyDescent="0.3">
      <c r="A347" s="307"/>
      <c r="B347" s="277"/>
      <c r="C347" s="83" t="s">
        <v>176</v>
      </c>
      <c r="D347" s="149">
        <f>13452.84+4+44</f>
        <v>13500.84</v>
      </c>
      <c r="E347" s="149">
        <f>13934.2+8+152.78-6.16-2.5+35+10.57</f>
        <v>14131.890000000001</v>
      </c>
      <c r="F347" s="151">
        <f>14457.2+650+7.424+0.108+240+506</f>
        <v>15860.732000000002</v>
      </c>
      <c r="G347" s="151">
        <f>15890.92+45.14+28.4</f>
        <v>15964.46</v>
      </c>
      <c r="H347" s="151">
        <v>14893.909</v>
      </c>
      <c r="I347" s="151">
        <v>14108.279</v>
      </c>
      <c r="J347" s="151">
        <f>SUM(D347:I347)</f>
        <v>88460.11</v>
      </c>
      <c r="K347" s="84"/>
      <c r="L347" s="73"/>
    </row>
    <row r="348" spans="1:12" ht="13.5" customHeight="1" x14ac:dyDescent="0.3">
      <c r="A348" s="307"/>
      <c r="B348" s="277"/>
      <c r="C348" s="83" t="s">
        <v>177</v>
      </c>
      <c r="D348" s="149">
        <v>0</v>
      </c>
      <c r="E348" s="149">
        <v>0</v>
      </c>
      <c r="F348" s="151">
        <v>0</v>
      </c>
      <c r="G348" s="151">
        <v>0</v>
      </c>
      <c r="H348" s="151">
        <v>0</v>
      </c>
      <c r="I348" s="151">
        <v>0</v>
      </c>
      <c r="J348" s="151">
        <f>SUM(D348:I348)</f>
        <v>0</v>
      </c>
      <c r="K348" s="84"/>
      <c r="L348" s="73"/>
    </row>
    <row r="349" spans="1:12" ht="26.25" customHeight="1" x14ac:dyDescent="0.3">
      <c r="A349" s="307" t="s">
        <v>154</v>
      </c>
      <c r="B349" s="277" t="s">
        <v>155</v>
      </c>
      <c r="C349" s="83" t="s">
        <v>173</v>
      </c>
      <c r="D349" s="149">
        <f t="shared" ref="D349:J349" si="91">D350+D351+D352+D353</f>
        <v>0</v>
      </c>
      <c r="E349" s="149">
        <f t="shared" si="91"/>
        <v>0</v>
      </c>
      <c r="F349" s="149">
        <f t="shared" si="91"/>
        <v>0</v>
      </c>
      <c r="G349" s="149">
        <f t="shared" si="91"/>
        <v>0</v>
      </c>
      <c r="H349" s="149">
        <f t="shared" si="91"/>
        <v>0</v>
      </c>
      <c r="I349" s="149">
        <f t="shared" si="91"/>
        <v>0</v>
      </c>
      <c r="J349" s="149">
        <f t="shared" si="91"/>
        <v>0</v>
      </c>
      <c r="K349" s="84"/>
      <c r="L349" s="73"/>
    </row>
    <row r="350" spans="1:12" ht="20.25" customHeight="1" x14ac:dyDescent="0.3">
      <c r="A350" s="307"/>
      <c r="B350" s="277"/>
      <c r="C350" s="85" t="s">
        <v>174</v>
      </c>
      <c r="D350" s="149">
        <v>0</v>
      </c>
      <c r="E350" s="149">
        <v>0</v>
      </c>
      <c r="F350" s="151">
        <v>0</v>
      </c>
      <c r="G350" s="151">
        <v>0</v>
      </c>
      <c r="H350" s="151">
        <v>0</v>
      </c>
      <c r="I350" s="151">
        <v>0</v>
      </c>
      <c r="J350" s="151">
        <f>SUM(D350:I350)</f>
        <v>0</v>
      </c>
      <c r="K350" s="84"/>
      <c r="L350" s="73"/>
    </row>
    <row r="351" spans="1:12" ht="21" customHeight="1" x14ac:dyDescent="0.3">
      <c r="A351" s="307"/>
      <c r="B351" s="277"/>
      <c r="C351" s="85" t="s">
        <v>175</v>
      </c>
      <c r="D351" s="149">
        <v>0</v>
      </c>
      <c r="E351" s="149">
        <v>0</v>
      </c>
      <c r="F351" s="151">
        <v>0</v>
      </c>
      <c r="G351" s="151">
        <v>0</v>
      </c>
      <c r="H351" s="151">
        <v>0</v>
      </c>
      <c r="I351" s="151">
        <v>0</v>
      </c>
      <c r="J351" s="151">
        <f>SUM(D351:I351)</f>
        <v>0</v>
      </c>
      <c r="K351" s="84"/>
      <c r="L351" s="73"/>
    </row>
    <row r="352" spans="1:12" ht="15.75" customHeight="1" x14ac:dyDescent="0.3">
      <c r="A352" s="307"/>
      <c r="B352" s="277"/>
      <c r="C352" s="83" t="s">
        <v>176</v>
      </c>
      <c r="D352" s="149">
        <v>0</v>
      </c>
      <c r="E352" s="149">
        <v>0</v>
      </c>
      <c r="F352" s="151">
        <v>0</v>
      </c>
      <c r="G352" s="151">
        <v>0</v>
      </c>
      <c r="H352" s="151">
        <v>0</v>
      </c>
      <c r="I352" s="151">
        <v>0</v>
      </c>
      <c r="J352" s="151">
        <f>SUM(D352:I352)</f>
        <v>0</v>
      </c>
      <c r="K352" s="84"/>
      <c r="L352" s="73"/>
    </row>
    <row r="353" spans="1:12" ht="21" customHeight="1" x14ac:dyDescent="0.3">
      <c r="A353" s="307"/>
      <c r="B353" s="277"/>
      <c r="C353" s="83" t="s">
        <v>177</v>
      </c>
      <c r="D353" s="149">
        <v>0</v>
      </c>
      <c r="E353" s="149">
        <v>0</v>
      </c>
      <c r="F353" s="151">
        <v>0</v>
      </c>
      <c r="G353" s="151">
        <v>0</v>
      </c>
      <c r="H353" s="151">
        <v>0</v>
      </c>
      <c r="I353" s="151">
        <v>0</v>
      </c>
      <c r="J353" s="151">
        <f>SUM(D353:I353)</f>
        <v>0</v>
      </c>
      <c r="K353" s="84"/>
      <c r="L353" s="73"/>
    </row>
    <row r="354" spans="1:12" ht="15.75" customHeight="1" x14ac:dyDescent="0.3">
      <c r="A354" s="307" t="s">
        <v>157</v>
      </c>
      <c r="B354" s="283" t="s">
        <v>158</v>
      </c>
      <c r="C354" s="83" t="s">
        <v>173</v>
      </c>
      <c r="D354" s="149">
        <f t="shared" ref="D354:J354" si="92">D355+D356+D357+D358</f>
        <v>2043.3989999999999</v>
      </c>
      <c r="E354" s="149">
        <f t="shared" si="92"/>
        <v>2073.77</v>
      </c>
      <c r="F354" s="149">
        <f t="shared" si="92"/>
        <v>2283.4047799999998</v>
      </c>
      <c r="G354" s="149">
        <f t="shared" si="92"/>
        <v>2573.0050000000001</v>
      </c>
      <c r="H354" s="149">
        <f t="shared" si="92"/>
        <v>2356.9</v>
      </c>
      <c r="I354" s="149">
        <f t="shared" si="92"/>
        <v>2356.9</v>
      </c>
      <c r="J354" s="149">
        <f t="shared" si="92"/>
        <v>13687.378779999999</v>
      </c>
      <c r="K354" s="84"/>
      <c r="L354" s="73"/>
    </row>
    <row r="355" spans="1:12" ht="33" customHeight="1" x14ac:dyDescent="0.3">
      <c r="A355" s="307"/>
      <c r="B355" s="280"/>
      <c r="C355" s="85" t="s">
        <v>174</v>
      </c>
      <c r="D355" s="149">
        <v>0</v>
      </c>
      <c r="E355" s="149">
        <v>0</v>
      </c>
      <c r="F355" s="151">
        <v>0</v>
      </c>
      <c r="G355" s="151">
        <v>0</v>
      </c>
      <c r="H355" s="151">
        <v>0</v>
      </c>
      <c r="I355" s="151">
        <v>0</v>
      </c>
      <c r="J355" s="151">
        <f>SUM(D355:I355)</f>
        <v>0</v>
      </c>
      <c r="K355" s="84"/>
      <c r="L355" s="73"/>
    </row>
    <row r="356" spans="1:12" ht="13.5" customHeight="1" x14ac:dyDescent="0.3">
      <c r="A356" s="307"/>
      <c r="B356" s="280"/>
      <c r="C356" s="85" t="s">
        <v>175</v>
      </c>
      <c r="D356" s="149">
        <v>0</v>
      </c>
      <c r="E356" s="149">
        <v>0</v>
      </c>
      <c r="F356" s="151">
        <v>0</v>
      </c>
      <c r="G356" s="151">
        <v>0</v>
      </c>
      <c r="H356" s="151">
        <v>0</v>
      </c>
      <c r="I356" s="151">
        <v>0</v>
      </c>
      <c r="J356" s="151">
        <f>SUM(D356:I356)</f>
        <v>0</v>
      </c>
      <c r="K356" s="84"/>
      <c r="L356" s="73"/>
    </row>
    <row r="357" spans="1:12" ht="27.75" customHeight="1" x14ac:dyDescent="0.3">
      <c r="A357" s="307"/>
      <c r="B357" s="280"/>
      <c r="C357" s="83" t="s">
        <v>176</v>
      </c>
      <c r="D357" s="149">
        <f>1762.4+27.6+236.899+16.5</f>
        <v>2043.3989999999999</v>
      </c>
      <c r="E357" s="149">
        <f>1851.4+152+20.15+50.22</f>
        <v>2073.77</v>
      </c>
      <c r="F357" s="151">
        <f>2145.555+11.706+126.14378</f>
        <v>2283.4047799999998</v>
      </c>
      <c r="G357" s="151">
        <f>2266.235+306.77</f>
        <v>2573.0050000000001</v>
      </c>
      <c r="H357" s="151">
        <v>2356.9</v>
      </c>
      <c r="I357" s="151">
        <v>2356.9</v>
      </c>
      <c r="J357" s="151">
        <f>SUM(D357:I357)</f>
        <v>13687.378779999999</v>
      </c>
      <c r="K357" s="84"/>
      <c r="L357" s="73"/>
    </row>
    <row r="358" spans="1:12" ht="12.75" customHeight="1" x14ac:dyDescent="0.3">
      <c r="A358" s="307"/>
      <c r="B358" s="281"/>
      <c r="C358" s="83" t="s">
        <v>177</v>
      </c>
      <c r="D358" s="149">
        <v>0</v>
      </c>
      <c r="E358" s="149">
        <v>0</v>
      </c>
      <c r="F358" s="151">
        <v>0</v>
      </c>
      <c r="G358" s="151">
        <v>0</v>
      </c>
      <c r="H358" s="151">
        <v>0</v>
      </c>
      <c r="I358" s="151">
        <v>0</v>
      </c>
      <c r="J358" s="151">
        <f>SUM(D358:I358)</f>
        <v>0</v>
      </c>
      <c r="K358" s="84"/>
      <c r="L358" s="73"/>
    </row>
    <row r="359" spans="1:12" ht="23.25" customHeight="1" x14ac:dyDescent="0.3">
      <c r="A359" s="320" t="s">
        <v>17</v>
      </c>
      <c r="B359" s="288" t="s">
        <v>161</v>
      </c>
      <c r="C359" s="80" t="s">
        <v>173</v>
      </c>
      <c r="D359" s="148">
        <f t="shared" ref="D359:J359" si="93">D364</f>
        <v>74</v>
      </c>
      <c r="E359" s="148">
        <f t="shared" si="93"/>
        <v>124</v>
      </c>
      <c r="F359" s="148">
        <f t="shared" si="93"/>
        <v>125</v>
      </c>
      <c r="G359" s="148">
        <f t="shared" si="93"/>
        <v>125</v>
      </c>
      <c r="H359" s="148">
        <f t="shared" si="93"/>
        <v>125</v>
      </c>
      <c r="I359" s="148">
        <f t="shared" si="93"/>
        <v>125</v>
      </c>
      <c r="J359" s="148">
        <f t="shared" si="93"/>
        <v>698</v>
      </c>
      <c r="K359" s="81"/>
      <c r="L359" s="73"/>
    </row>
    <row r="360" spans="1:12" ht="19.5" customHeight="1" x14ac:dyDescent="0.3">
      <c r="A360" s="321"/>
      <c r="B360" s="288"/>
      <c r="C360" s="82" t="s">
        <v>174</v>
      </c>
      <c r="D360" s="148">
        <f t="shared" ref="D360:H363" si="94">D365</f>
        <v>0</v>
      </c>
      <c r="E360" s="148">
        <f t="shared" si="94"/>
        <v>0</v>
      </c>
      <c r="F360" s="148">
        <f t="shared" si="94"/>
        <v>0</v>
      </c>
      <c r="G360" s="148">
        <f t="shared" si="94"/>
        <v>0</v>
      </c>
      <c r="H360" s="148">
        <f t="shared" si="94"/>
        <v>0</v>
      </c>
      <c r="I360" s="148">
        <f t="shared" ref="I360:J363" si="95">I365</f>
        <v>0</v>
      </c>
      <c r="J360" s="148">
        <f t="shared" si="95"/>
        <v>0</v>
      </c>
      <c r="K360" s="81"/>
      <c r="L360" s="73"/>
    </row>
    <row r="361" spans="1:12" ht="19.5" customHeight="1" x14ac:dyDescent="0.3">
      <c r="A361" s="321"/>
      <c r="B361" s="288"/>
      <c r="C361" s="82" t="s">
        <v>175</v>
      </c>
      <c r="D361" s="148">
        <f t="shared" si="94"/>
        <v>0</v>
      </c>
      <c r="E361" s="148">
        <f t="shared" si="94"/>
        <v>0</v>
      </c>
      <c r="F361" s="148">
        <f t="shared" si="94"/>
        <v>0</v>
      </c>
      <c r="G361" s="148">
        <f t="shared" si="94"/>
        <v>0</v>
      </c>
      <c r="H361" s="148">
        <f t="shared" si="94"/>
        <v>0</v>
      </c>
      <c r="I361" s="148">
        <f t="shared" si="95"/>
        <v>0</v>
      </c>
      <c r="J361" s="148">
        <f t="shared" si="95"/>
        <v>0</v>
      </c>
      <c r="K361" s="81"/>
      <c r="L361" s="73"/>
    </row>
    <row r="362" spans="1:12" ht="19.5" customHeight="1" x14ac:dyDescent="0.3">
      <c r="A362" s="321"/>
      <c r="B362" s="288"/>
      <c r="C362" s="80" t="s">
        <v>176</v>
      </c>
      <c r="D362" s="148">
        <f t="shared" si="94"/>
        <v>74</v>
      </c>
      <c r="E362" s="148">
        <f t="shared" si="94"/>
        <v>124</v>
      </c>
      <c r="F362" s="148">
        <f t="shared" si="94"/>
        <v>125</v>
      </c>
      <c r="G362" s="148">
        <f t="shared" si="94"/>
        <v>125</v>
      </c>
      <c r="H362" s="148">
        <f t="shared" si="94"/>
        <v>125</v>
      </c>
      <c r="I362" s="148">
        <f t="shared" si="95"/>
        <v>125</v>
      </c>
      <c r="J362" s="148">
        <f t="shared" si="95"/>
        <v>698</v>
      </c>
      <c r="K362" s="81"/>
      <c r="L362" s="73"/>
    </row>
    <row r="363" spans="1:12" ht="21.75" customHeight="1" x14ac:dyDescent="0.3">
      <c r="A363" s="322"/>
      <c r="B363" s="289"/>
      <c r="C363" s="80" t="s">
        <v>177</v>
      </c>
      <c r="D363" s="148">
        <f t="shared" si="94"/>
        <v>0</v>
      </c>
      <c r="E363" s="148">
        <f t="shared" si="94"/>
        <v>0</v>
      </c>
      <c r="F363" s="148">
        <f t="shared" si="94"/>
        <v>0</v>
      </c>
      <c r="G363" s="148">
        <f t="shared" si="94"/>
        <v>0</v>
      </c>
      <c r="H363" s="148">
        <f t="shared" si="94"/>
        <v>0</v>
      </c>
      <c r="I363" s="148">
        <f t="shared" si="95"/>
        <v>0</v>
      </c>
      <c r="J363" s="148">
        <f t="shared" si="95"/>
        <v>0</v>
      </c>
      <c r="K363" s="81"/>
      <c r="L363" s="73"/>
    </row>
    <row r="364" spans="1:12" ht="21" customHeight="1" x14ac:dyDescent="0.3">
      <c r="A364" s="308" t="s">
        <v>162</v>
      </c>
      <c r="B364" s="311" t="s">
        <v>163</v>
      </c>
      <c r="C364" s="83" t="s">
        <v>173</v>
      </c>
      <c r="D364" s="149">
        <f t="shared" ref="D364:J364" si="96">D365+D366+D367+D368</f>
        <v>74</v>
      </c>
      <c r="E364" s="149">
        <f t="shared" si="96"/>
        <v>124</v>
      </c>
      <c r="F364" s="149">
        <f t="shared" si="96"/>
        <v>125</v>
      </c>
      <c r="G364" s="149">
        <f t="shared" si="96"/>
        <v>125</v>
      </c>
      <c r="H364" s="149">
        <f t="shared" si="96"/>
        <v>125</v>
      </c>
      <c r="I364" s="149">
        <f t="shared" si="96"/>
        <v>125</v>
      </c>
      <c r="J364" s="149">
        <f t="shared" si="96"/>
        <v>698</v>
      </c>
      <c r="K364" s="84"/>
      <c r="L364" s="73"/>
    </row>
    <row r="365" spans="1:12" ht="24.75" customHeight="1" x14ac:dyDescent="0.3">
      <c r="A365" s="309"/>
      <c r="B365" s="312"/>
      <c r="C365" s="85" t="s">
        <v>174</v>
      </c>
      <c r="D365" s="151">
        <v>0</v>
      </c>
      <c r="E365" s="151">
        <v>0</v>
      </c>
      <c r="F365" s="151">
        <v>0</v>
      </c>
      <c r="G365" s="151">
        <v>0</v>
      </c>
      <c r="H365" s="151">
        <v>0</v>
      </c>
      <c r="I365" s="151">
        <v>0</v>
      </c>
      <c r="J365" s="151">
        <f>SUM(D365:I365)</f>
        <v>0</v>
      </c>
      <c r="K365" s="88"/>
      <c r="L365" s="73"/>
    </row>
    <row r="366" spans="1:12" ht="20.25" customHeight="1" x14ac:dyDescent="0.3">
      <c r="A366" s="309"/>
      <c r="B366" s="312"/>
      <c r="C366" s="85" t="s">
        <v>175</v>
      </c>
      <c r="D366" s="151">
        <v>0</v>
      </c>
      <c r="E366" s="151">
        <v>0</v>
      </c>
      <c r="F366" s="151">
        <v>0</v>
      </c>
      <c r="G366" s="151">
        <v>0</v>
      </c>
      <c r="H366" s="151">
        <v>0</v>
      </c>
      <c r="I366" s="151">
        <v>0</v>
      </c>
      <c r="J366" s="151">
        <f>SUM(D366:I366)</f>
        <v>0</v>
      </c>
      <c r="K366" s="88"/>
      <c r="L366" s="73"/>
    </row>
    <row r="367" spans="1:12" ht="15.6" x14ac:dyDescent="0.3">
      <c r="A367" s="309"/>
      <c r="B367" s="312"/>
      <c r="C367" s="83" t="s">
        <v>176</v>
      </c>
      <c r="D367" s="151">
        <v>74</v>
      </c>
      <c r="E367" s="151">
        <v>124</v>
      </c>
      <c r="F367" s="151">
        <v>125</v>
      </c>
      <c r="G367" s="151">
        <v>125</v>
      </c>
      <c r="H367" s="151">
        <v>125</v>
      </c>
      <c r="I367" s="151">
        <v>125</v>
      </c>
      <c r="J367" s="151">
        <f>SUM(D367:I367)</f>
        <v>698</v>
      </c>
      <c r="K367" s="88"/>
      <c r="L367" s="73"/>
    </row>
    <row r="368" spans="1:12" ht="17.25" customHeight="1" x14ac:dyDescent="0.3">
      <c r="A368" s="310"/>
      <c r="B368" s="313"/>
      <c r="C368" s="83" t="s">
        <v>177</v>
      </c>
      <c r="D368" s="151">
        <v>0</v>
      </c>
      <c r="E368" s="151">
        <v>0</v>
      </c>
      <c r="F368" s="151">
        <v>0</v>
      </c>
      <c r="G368" s="151">
        <v>0</v>
      </c>
      <c r="H368" s="151">
        <v>0</v>
      </c>
      <c r="I368" s="151">
        <v>0</v>
      </c>
      <c r="J368" s="151">
        <f>SUM(D368:I368)</f>
        <v>0</v>
      </c>
      <c r="K368" s="88"/>
      <c r="L368" s="73"/>
    </row>
    <row r="369" spans="1:12" ht="15.6" x14ac:dyDescent="0.3">
      <c r="A369" s="314" t="s">
        <v>165</v>
      </c>
      <c r="B369" s="317" t="s">
        <v>350</v>
      </c>
      <c r="C369" s="80" t="s">
        <v>173</v>
      </c>
      <c r="D369" s="153">
        <f t="shared" ref="D369:J369" si="97">D374</f>
        <v>1938.4</v>
      </c>
      <c r="E369" s="153">
        <f t="shared" si="97"/>
        <v>1750</v>
      </c>
      <c r="F369" s="153">
        <f t="shared" si="97"/>
        <v>657</v>
      </c>
      <c r="G369" s="153">
        <f t="shared" si="97"/>
        <v>1685</v>
      </c>
      <c r="H369" s="153">
        <f t="shared" si="97"/>
        <v>1310</v>
      </c>
      <c r="I369" s="153">
        <f t="shared" si="97"/>
        <v>1310</v>
      </c>
      <c r="J369" s="153">
        <f t="shared" si="97"/>
        <v>8650.4</v>
      </c>
      <c r="K369" s="89"/>
      <c r="L369" s="73"/>
    </row>
    <row r="370" spans="1:12" ht="31.2" x14ac:dyDescent="0.3">
      <c r="A370" s="315"/>
      <c r="B370" s="317"/>
      <c r="C370" s="82" t="s">
        <v>174</v>
      </c>
      <c r="D370" s="153">
        <f t="shared" ref="D370:H373" si="98">D375</f>
        <v>0</v>
      </c>
      <c r="E370" s="153">
        <f t="shared" si="98"/>
        <v>0</v>
      </c>
      <c r="F370" s="153">
        <f t="shared" si="98"/>
        <v>0</v>
      </c>
      <c r="G370" s="153">
        <f t="shared" si="98"/>
        <v>0</v>
      </c>
      <c r="H370" s="153">
        <f t="shared" si="98"/>
        <v>0</v>
      </c>
      <c r="I370" s="153">
        <f t="shared" ref="I370:J373" si="99">I375</f>
        <v>0</v>
      </c>
      <c r="J370" s="153">
        <f t="shared" si="99"/>
        <v>0</v>
      </c>
      <c r="K370" s="89"/>
      <c r="L370" s="73"/>
    </row>
    <row r="371" spans="1:12" ht="31.2" x14ac:dyDescent="0.3">
      <c r="A371" s="315"/>
      <c r="B371" s="317"/>
      <c r="C371" s="82" t="s">
        <v>175</v>
      </c>
      <c r="D371" s="153">
        <f t="shared" si="98"/>
        <v>1938.4</v>
      </c>
      <c r="E371" s="153">
        <f t="shared" si="98"/>
        <v>1750</v>
      </c>
      <c r="F371" s="153">
        <f t="shared" si="98"/>
        <v>657</v>
      </c>
      <c r="G371" s="153">
        <f t="shared" si="98"/>
        <v>1685</v>
      </c>
      <c r="H371" s="153">
        <f t="shared" si="98"/>
        <v>1310</v>
      </c>
      <c r="I371" s="153">
        <f t="shared" si="99"/>
        <v>1310</v>
      </c>
      <c r="J371" s="153">
        <f t="shared" si="99"/>
        <v>8650.4</v>
      </c>
      <c r="K371" s="89"/>
      <c r="L371" s="73"/>
    </row>
    <row r="372" spans="1:12" ht="15.6" x14ac:dyDescent="0.3">
      <c r="A372" s="315"/>
      <c r="B372" s="317"/>
      <c r="C372" s="80" t="s">
        <v>176</v>
      </c>
      <c r="D372" s="153">
        <f t="shared" si="98"/>
        <v>0</v>
      </c>
      <c r="E372" s="153">
        <f t="shared" si="98"/>
        <v>0</v>
      </c>
      <c r="F372" s="153">
        <f t="shared" si="98"/>
        <v>0</v>
      </c>
      <c r="G372" s="153">
        <f t="shared" si="98"/>
        <v>0</v>
      </c>
      <c r="H372" s="153">
        <f t="shared" si="98"/>
        <v>0</v>
      </c>
      <c r="I372" s="153">
        <f t="shared" si="99"/>
        <v>0</v>
      </c>
      <c r="J372" s="153">
        <f t="shared" si="99"/>
        <v>0</v>
      </c>
      <c r="K372" s="89"/>
      <c r="L372" s="73"/>
    </row>
    <row r="373" spans="1:12" ht="15.6" x14ac:dyDescent="0.3">
      <c r="A373" s="316"/>
      <c r="B373" s="318"/>
      <c r="C373" s="80" t="s">
        <v>177</v>
      </c>
      <c r="D373" s="153">
        <f t="shared" si="98"/>
        <v>0</v>
      </c>
      <c r="E373" s="153">
        <f t="shared" si="98"/>
        <v>0</v>
      </c>
      <c r="F373" s="153">
        <f t="shared" si="98"/>
        <v>0</v>
      </c>
      <c r="G373" s="153">
        <f t="shared" si="98"/>
        <v>0</v>
      </c>
      <c r="H373" s="153">
        <f t="shared" si="98"/>
        <v>0</v>
      </c>
      <c r="I373" s="153">
        <f t="shared" si="99"/>
        <v>0</v>
      </c>
      <c r="J373" s="153">
        <f t="shared" si="99"/>
        <v>0</v>
      </c>
      <c r="K373" s="89"/>
      <c r="L373" s="73"/>
    </row>
    <row r="374" spans="1:12" ht="15.75" customHeight="1" x14ac:dyDescent="0.3">
      <c r="A374" s="314" t="s">
        <v>167</v>
      </c>
      <c r="B374" s="319" t="s">
        <v>168</v>
      </c>
      <c r="C374" s="77" t="s">
        <v>173</v>
      </c>
      <c r="D374" s="149">
        <f t="shared" ref="D374:J374" si="100">D375+D376+D377+D378</f>
        <v>1938.4</v>
      </c>
      <c r="E374" s="149">
        <f t="shared" si="100"/>
        <v>1750</v>
      </c>
      <c r="F374" s="149">
        <f t="shared" si="100"/>
        <v>657</v>
      </c>
      <c r="G374" s="149">
        <f t="shared" si="100"/>
        <v>1685</v>
      </c>
      <c r="H374" s="149">
        <f t="shared" si="100"/>
        <v>1310</v>
      </c>
      <c r="I374" s="149">
        <f t="shared" si="100"/>
        <v>1310</v>
      </c>
      <c r="J374" s="149">
        <f t="shared" si="100"/>
        <v>8650.4</v>
      </c>
      <c r="K374" s="84"/>
      <c r="L374" s="73"/>
    </row>
    <row r="375" spans="1:12" ht="31.2" x14ac:dyDescent="0.3">
      <c r="A375" s="315"/>
      <c r="B375" s="319"/>
      <c r="C375" s="90" t="s">
        <v>174</v>
      </c>
      <c r="D375" s="149">
        <v>0</v>
      </c>
      <c r="E375" s="149">
        <v>0</v>
      </c>
      <c r="F375" s="151">
        <v>0</v>
      </c>
      <c r="G375" s="151">
        <v>0</v>
      </c>
      <c r="H375" s="151">
        <v>0</v>
      </c>
      <c r="I375" s="151">
        <v>0</v>
      </c>
      <c r="J375" s="151">
        <f>SUM(D375:I375)</f>
        <v>0</v>
      </c>
      <c r="K375" s="84"/>
      <c r="L375" s="73"/>
    </row>
    <row r="376" spans="1:12" ht="31.2" x14ac:dyDescent="0.3">
      <c r="A376" s="315"/>
      <c r="B376" s="319"/>
      <c r="C376" s="90" t="s">
        <v>175</v>
      </c>
      <c r="D376" s="149">
        <v>1938.4</v>
      </c>
      <c r="E376" s="149">
        <f>2460-710</f>
        <v>1750</v>
      </c>
      <c r="F376" s="149">
        <f>1310-210-653+210</f>
        <v>657</v>
      </c>
      <c r="G376" s="149">
        <v>1685</v>
      </c>
      <c r="H376" s="149">
        <v>1310</v>
      </c>
      <c r="I376" s="149">
        <v>1310</v>
      </c>
      <c r="J376" s="151">
        <f>SUM(D376:I376)</f>
        <v>8650.4</v>
      </c>
      <c r="K376" s="84"/>
      <c r="L376" s="73"/>
    </row>
    <row r="377" spans="1:12" ht="15.6" x14ac:dyDescent="0.3">
      <c r="A377" s="315"/>
      <c r="B377" s="319"/>
      <c r="C377" s="77" t="s">
        <v>176</v>
      </c>
      <c r="D377" s="149">
        <v>0</v>
      </c>
      <c r="E377" s="149">
        <v>0</v>
      </c>
      <c r="F377" s="151">
        <v>0</v>
      </c>
      <c r="G377" s="151">
        <v>0</v>
      </c>
      <c r="H377" s="151">
        <v>0</v>
      </c>
      <c r="I377" s="151">
        <v>0</v>
      </c>
      <c r="J377" s="151">
        <f>SUM(D377:I377)</f>
        <v>0</v>
      </c>
      <c r="K377" s="84"/>
      <c r="L377" s="73"/>
    </row>
    <row r="378" spans="1:12" ht="15.6" x14ac:dyDescent="0.3">
      <c r="A378" s="315"/>
      <c r="B378" s="319"/>
      <c r="C378" s="77" t="s">
        <v>177</v>
      </c>
      <c r="D378" s="149">
        <v>0</v>
      </c>
      <c r="E378" s="149">
        <v>0</v>
      </c>
      <c r="F378" s="151">
        <v>0</v>
      </c>
      <c r="G378" s="151">
        <v>0</v>
      </c>
      <c r="H378" s="151">
        <v>0</v>
      </c>
      <c r="I378" s="151">
        <v>0</v>
      </c>
      <c r="J378" s="151">
        <f>SUM(D378:I378)</f>
        <v>0</v>
      </c>
      <c r="K378" s="84"/>
      <c r="L378" s="73"/>
    </row>
    <row r="379" spans="1:12" ht="15.6" x14ac:dyDescent="0.3">
      <c r="I379" s="88"/>
    </row>
    <row r="380" spans="1:12" ht="15.6" x14ac:dyDescent="0.3">
      <c r="I380" s="88"/>
    </row>
  </sheetData>
  <mergeCells count="150">
    <mergeCell ref="A334:A338"/>
    <mergeCell ref="B334:B338"/>
    <mergeCell ref="A339:A343"/>
    <mergeCell ref="B339:B343"/>
    <mergeCell ref="A344:A348"/>
    <mergeCell ref="B344:B348"/>
    <mergeCell ref="A319:A323"/>
    <mergeCell ref="B319:B323"/>
    <mergeCell ref="A324:A328"/>
    <mergeCell ref="B324:B328"/>
    <mergeCell ref="A329:A333"/>
    <mergeCell ref="B329:B333"/>
    <mergeCell ref="A364:A368"/>
    <mergeCell ref="B364:B368"/>
    <mergeCell ref="A369:A373"/>
    <mergeCell ref="B369:B373"/>
    <mergeCell ref="A374:A378"/>
    <mergeCell ref="B374:B378"/>
    <mergeCell ref="A349:A353"/>
    <mergeCell ref="B349:B353"/>
    <mergeCell ref="A354:A358"/>
    <mergeCell ref="B354:B358"/>
    <mergeCell ref="A359:A363"/>
    <mergeCell ref="B359:B363"/>
    <mergeCell ref="A299:A303"/>
    <mergeCell ref="B299:B303"/>
    <mergeCell ref="A304:A308"/>
    <mergeCell ref="B304:B308"/>
    <mergeCell ref="A314:A318"/>
    <mergeCell ref="B314:B318"/>
    <mergeCell ref="A284:A288"/>
    <mergeCell ref="B284:B288"/>
    <mergeCell ref="A289:A293"/>
    <mergeCell ref="B289:B293"/>
    <mergeCell ref="A294:A298"/>
    <mergeCell ref="B294:B298"/>
    <mergeCell ref="B309:B313"/>
    <mergeCell ref="A269:A273"/>
    <mergeCell ref="B269:B273"/>
    <mergeCell ref="A274:A278"/>
    <mergeCell ref="B274:B278"/>
    <mergeCell ref="A279:A283"/>
    <mergeCell ref="B279:B283"/>
    <mergeCell ref="A254:A258"/>
    <mergeCell ref="B254:B258"/>
    <mergeCell ref="A259:A263"/>
    <mergeCell ref="B259:B263"/>
    <mergeCell ref="A264:A268"/>
    <mergeCell ref="B264:B268"/>
    <mergeCell ref="A229:A233"/>
    <mergeCell ref="B229:B233"/>
    <mergeCell ref="A244:A248"/>
    <mergeCell ref="B244:B248"/>
    <mergeCell ref="A249:A253"/>
    <mergeCell ref="B249:B253"/>
    <mergeCell ref="A209:A213"/>
    <mergeCell ref="B209:B213"/>
    <mergeCell ref="A214:A218"/>
    <mergeCell ref="B214:B218"/>
    <mergeCell ref="A224:A228"/>
    <mergeCell ref="B224:B228"/>
    <mergeCell ref="A219:A223"/>
    <mergeCell ref="B219:B223"/>
    <mergeCell ref="A234:A238"/>
    <mergeCell ref="B234:B238"/>
    <mergeCell ref="A239:A243"/>
    <mergeCell ref="B239:B243"/>
    <mergeCell ref="A179:A183"/>
    <mergeCell ref="B179:B183"/>
    <mergeCell ref="A184:A188"/>
    <mergeCell ref="B184:B188"/>
    <mergeCell ref="A204:A208"/>
    <mergeCell ref="B204:B208"/>
    <mergeCell ref="A164:A168"/>
    <mergeCell ref="B164:B168"/>
    <mergeCell ref="A169:A173"/>
    <mergeCell ref="B169:B173"/>
    <mergeCell ref="A174:A178"/>
    <mergeCell ref="B174:B178"/>
    <mergeCell ref="A189:A193"/>
    <mergeCell ref="B189:B193"/>
    <mergeCell ref="B194:B198"/>
    <mergeCell ref="A194:A198"/>
    <mergeCell ref="A199:A203"/>
    <mergeCell ref="B199:B203"/>
    <mergeCell ref="A149:A153"/>
    <mergeCell ref="B149:B153"/>
    <mergeCell ref="A154:A158"/>
    <mergeCell ref="B154:B158"/>
    <mergeCell ref="A159:A163"/>
    <mergeCell ref="B159:B163"/>
    <mergeCell ref="A134:A138"/>
    <mergeCell ref="B134:B138"/>
    <mergeCell ref="A139:A143"/>
    <mergeCell ref="B139:B143"/>
    <mergeCell ref="A144:A148"/>
    <mergeCell ref="B144:B148"/>
    <mergeCell ref="A119:A123"/>
    <mergeCell ref="B119:B123"/>
    <mergeCell ref="A124:A128"/>
    <mergeCell ref="B124:B128"/>
    <mergeCell ref="A129:A133"/>
    <mergeCell ref="B129:B133"/>
    <mergeCell ref="A104:A108"/>
    <mergeCell ref="B104:B108"/>
    <mergeCell ref="A109:A113"/>
    <mergeCell ref="B109:B113"/>
    <mergeCell ref="A114:A118"/>
    <mergeCell ref="B114:B118"/>
    <mergeCell ref="A84:A88"/>
    <mergeCell ref="B84:B88"/>
    <mergeCell ref="A89:A93"/>
    <mergeCell ref="B89:B93"/>
    <mergeCell ref="A99:A103"/>
    <mergeCell ref="B99:B103"/>
    <mergeCell ref="A69:A73"/>
    <mergeCell ref="B69:B73"/>
    <mergeCell ref="A74:A78"/>
    <mergeCell ref="B74:B78"/>
    <mergeCell ref="A79:A83"/>
    <mergeCell ref="B79:B83"/>
    <mergeCell ref="A94:A98"/>
    <mergeCell ref="B94:B98"/>
    <mergeCell ref="A54:A58"/>
    <mergeCell ref="B54:B58"/>
    <mergeCell ref="A59:A63"/>
    <mergeCell ref="B59:B63"/>
    <mergeCell ref="A64:A68"/>
    <mergeCell ref="B64:B68"/>
    <mergeCell ref="A39:A43"/>
    <mergeCell ref="B39:B43"/>
    <mergeCell ref="A44:A48"/>
    <mergeCell ref="B44:B48"/>
    <mergeCell ref="A49:A53"/>
    <mergeCell ref="B49:B53"/>
    <mergeCell ref="D1:G1"/>
    <mergeCell ref="D2:G2"/>
    <mergeCell ref="D3:G3"/>
    <mergeCell ref="A24:A28"/>
    <mergeCell ref="B24:B28"/>
    <mergeCell ref="A29:A33"/>
    <mergeCell ref="B29:B33"/>
    <mergeCell ref="A34:A38"/>
    <mergeCell ref="B34:B38"/>
    <mergeCell ref="D8:G9"/>
    <mergeCell ref="D10:H13"/>
    <mergeCell ref="A15:G20"/>
    <mergeCell ref="B22:B23"/>
    <mergeCell ref="C22:C23"/>
    <mergeCell ref="D22:J22"/>
  </mergeCells>
  <pageMargins left="0" right="0" top="0" bottom="0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</vt:lpstr>
      <vt:lpstr>2</vt:lpstr>
      <vt:lpstr>3</vt:lpstr>
      <vt:lpstr>4</vt:lpstr>
      <vt:lpstr>5</vt:lpstr>
      <vt:lpstr>'1'!Область_печати</vt:lpstr>
      <vt:lpstr>'3'!Область_печати</vt:lpstr>
      <vt:lpstr>'5'!Область_печати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Гурулев</dc:creator>
  <cp:lastModifiedBy>Добрынина</cp:lastModifiedBy>
  <cp:lastPrinted>2023-06-30T01:09:01Z</cp:lastPrinted>
  <dcterms:created xsi:type="dcterms:W3CDTF">2019-08-09T00:39:39Z</dcterms:created>
  <dcterms:modified xsi:type="dcterms:W3CDTF">2023-09-07T00:14:45Z</dcterms:modified>
</cp:coreProperties>
</file>