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3792" windowWidth="12648" windowHeight="8124" firstSheet="6" activeTab="14"/>
  </bookViews>
  <sheets>
    <sheet name="прил 1" sheetId="3" r:id="rId1"/>
    <sheet name="прил 2 " sheetId="12" r:id="rId2"/>
    <sheet name="прил 6" sheetId="27" state="hidden" r:id="rId3"/>
    <sheet name="прил 7" sheetId="26" r:id="rId4"/>
    <sheet name="прил 7  динамика" sheetId="21" state="hidden" r:id="rId5"/>
    <sheet name="прил 8" sheetId="15" r:id="rId6"/>
    <sheet name="прил 9 " sheetId="14" r:id="rId7"/>
    <sheet name="прил 10 " sheetId="13" r:id="rId8"/>
    <sheet name="прил 11 " sheetId="22" r:id="rId9"/>
    <sheet name="потребность" sheetId="16" state="hidden" r:id="rId10"/>
    <sheet name="прил 12" sheetId="25" r:id="rId11"/>
    <sheet name="прил 13 " sheetId="23" r:id="rId12"/>
    <sheet name="прил 14 " sheetId="17" r:id="rId13"/>
    <sheet name="прил 15" sheetId="24" r:id="rId14"/>
    <sheet name="прил 16 " sheetId="18" r:id="rId15"/>
    <sheet name="Лист1" sheetId="28" r:id="rId16"/>
  </sheets>
  <externalReferences>
    <externalReference r:id="rId17"/>
  </externalReferences>
  <definedNames>
    <definedName name="_xlnm._FilterDatabase" localSheetId="9" hidden="1">потребность!$A$14:$WVN$682</definedName>
    <definedName name="_xlnm._FilterDatabase" localSheetId="8" hidden="1">'прил 11 '!$A$13:$WVG$13</definedName>
    <definedName name="_xlnm._FilterDatabase" localSheetId="10" hidden="1">'прил 12'!$A$13:$WVG$681</definedName>
    <definedName name="_xlnm._FilterDatabase" localSheetId="11" hidden="1">'прил 13 '!$A$15:$I$637</definedName>
    <definedName name="_xlnm._FilterDatabase" localSheetId="12" hidden="1">'прил 14 '!$A$15:$F$554</definedName>
    <definedName name="_xlnm._FilterDatabase" localSheetId="13" hidden="1">'прил 15'!$A$9:$C$81</definedName>
    <definedName name="_xlnm.Print_Area" localSheetId="9">потребность!$A$1:$L$679</definedName>
    <definedName name="_xlnm.Print_Area" localSheetId="7">'прил 10 '!$A$1:$D$44</definedName>
    <definedName name="_xlnm.Print_Area" localSheetId="8">'прил 11 '!$A$1:$F$687</definedName>
    <definedName name="_xlnm.Print_Area" localSheetId="10">'прил 12'!$A$1:$G$675</definedName>
    <definedName name="_xlnm.Print_Area" localSheetId="11">'прил 13 '!$A$1:$E$637</definedName>
    <definedName name="_xlnm.Print_Area" localSheetId="12">'прил 14 '!$A$1:$F$554</definedName>
    <definedName name="_xlnm.Print_Area" localSheetId="13">'прил 15'!$A$1:$C$81</definedName>
    <definedName name="_xlnm.Print_Area" localSheetId="14">'прил 16 '!$A$1:$D$80</definedName>
    <definedName name="_xlnm.Print_Area" localSheetId="1">'прил 2 '!$A$1:$D$17</definedName>
    <definedName name="_xlnm.Print_Area" localSheetId="3">'прил 7'!$A$1:$C$70</definedName>
    <definedName name="_xlnm.Print_Area" localSheetId="4">'прил 7  динамика'!$A$1:$G$68</definedName>
    <definedName name="_xlnm.Print_Area" localSheetId="5">'прил 8'!$A$1:$D$62</definedName>
  </definedNames>
  <calcPr calcId="125725"/>
</workbook>
</file>

<file path=xl/calcChain.xml><?xml version="1.0" encoding="utf-8"?>
<calcChain xmlns="http://schemas.openxmlformats.org/spreadsheetml/2006/main">
  <c r="F450" i="22"/>
  <c r="C56" i="26"/>
  <c r="C16" i="14"/>
  <c r="C68" i="18" l="1"/>
  <c r="E471" i="17"/>
  <c r="E472"/>
  <c r="E473"/>
  <c r="E474"/>
  <c r="F383" i="25"/>
  <c r="F384"/>
  <c r="F385"/>
  <c r="F386"/>
  <c r="E547" i="23" l="1"/>
  <c r="E546" s="1"/>
  <c r="E545" s="1"/>
  <c r="E544" s="1"/>
  <c r="E543" s="1"/>
  <c r="F391" i="22"/>
  <c r="F392"/>
  <c r="F393"/>
  <c r="F394"/>
  <c r="F395"/>
  <c r="F47" l="1"/>
  <c r="F42"/>
  <c r="E311" i="23" l="1"/>
  <c r="G537" i="25"/>
  <c r="G414"/>
  <c r="F414"/>
  <c r="F568" i="22"/>
  <c r="F529"/>
  <c r="F294"/>
  <c r="F65"/>
  <c r="D61" i="15"/>
  <c r="D55"/>
  <c r="C55"/>
  <c r="D37" i="13"/>
  <c r="C37"/>
  <c r="D43"/>
  <c r="D56" i="15"/>
  <c r="D57"/>
  <c r="C49"/>
  <c r="C43" s="1"/>
  <c r="C48" i="26"/>
  <c r="C16"/>
  <c r="F306" i="25" l="1"/>
  <c r="E279" i="23" l="1"/>
  <c r="F422" i="22"/>
  <c r="F268"/>
  <c r="C62" i="26"/>
  <c r="C42" i="14"/>
  <c r="C23"/>
  <c r="C52" i="26"/>
  <c r="F726" i="22" l="1"/>
  <c r="E93" i="23" l="1"/>
  <c r="E92" s="1"/>
  <c r="F88" i="22" l="1"/>
  <c r="F91"/>
  <c r="G306" i="25" l="1"/>
  <c r="G78"/>
  <c r="F78"/>
  <c r="F589" i="22" l="1"/>
  <c r="F552"/>
  <c r="F513"/>
  <c r="F644"/>
  <c r="F637"/>
  <c r="F303" l="1"/>
  <c r="E310" i="23" l="1"/>
  <c r="E309" s="1"/>
  <c r="F688" i="25" l="1"/>
  <c r="F109" i="22"/>
  <c r="G295" i="25"/>
  <c r="F295"/>
  <c r="F300" i="22"/>
  <c r="F465" l="1"/>
  <c r="F469" i="17"/>
  <c r="F468" s="1"/>
  <c r="F467" s="1"/>
  <c r="F466" s="1"/>
  <c r="F465" s="1"/>
  <c r="E469"/>
  <c r="E468" s="1"/>
  <c r="E467" s="1"/>
  <c r="E466" s="1"/>
  <c r="E465" s="1"/>
  <c r="F570" i="25"/>
  <c r="G404"/>
  <c r="F404"/>
  <c r="G131"/>
  <c r="F131"/>
  <c r="E596" i="23"/>
  <c r="E595" s="1"/>
  <c r="E594" s="1"/>
  <c r="E542"/>
  <c r="E541" s="1"/>
  <c r="E540" s="1"/>
  <c r="F389" i="22"/>
  <c r="F388" s="1"/>
  <c r="E278" i="23" l="1"/>
  <c r="E277" s="1"/>
  <c r="E276" s="1"/>
  <c r="F267" i="22"/>
  <c r="F266" s="1"/>
  <c r="F265" s="1"/>
  <c r="F133" l="1"/>
  <c r="E124" i="23" l="1"/>
  <c r="K65" i="16" l="1"/>
  <c r="L65"/>
  <c r="L287"/>
  <c r="L432"/>
  <c r="G688" i="25" l="1"/>
  <c r="G201" l="1"/>
  <c r="F201"/>
  <c r="H201" i="16"/>
  <c r="L201"/>
  <c r="F532" i="22" l="1"/>
  <c r="E386" i="23" s="1"/>
  <c r="F441" i="22"/>
  <c r="F367"/>
  <c r="F314"/>
  <c r="F291"/>
  <c r="F285"/>
  <c r="F252"/>
  <c r="F249"/>
  <c r="F246"/>
  <c r="F242"/>
  <c r="F203"/>
  <c r="C68" i="26" l="1"/>
  <c r="C57"/>
  <c r="C45"/>
  <c r="C37"/>
  <c r="C35"/>
  <c r="C33"/>
  <c r="C29"/>
  <c r="C27"/>
  <c r="C24"/>
  <c r="C19"/>
  <c r="C17"/>
  <c r="C15"/>
  <c r="C14" s="1"/>
  <c r="F729" i="22" s="1"/>
  <c r="C44" i="26" l="1"/>
  <c r="C43" s="1"/>
  <c r="G668" i="25"/>
  <c r="G667" s="1"/>
  <c r="C70" i="26" l="1"/>
  <c r="F689" i="22"/>
  <c r="C76" i="26"/>
  <c r="G149" i="25"/>
  <c r="F41" i="26" l="1"/>
  <c r="F37"/>
  <c r="F26"/>
  <c r="F25"/>
  <c r="F29"/>
  <c r="F40"/>
  <c r="F35"/>
  <c r="F30"/>
  <c r="F20"/>
  <c r="F39"/>
  <c r="F24"/>
  <c r="F38"/>
  <c r="F32"/>
  <c r="F27"/>
  <c r="F23"/>
  <c r="F17"/>
  <c r="F31"/>
  <c r="F22"/>
  <c r="F15"/>
  <c r="F14"/>
  <c r="F33"/>
  <c r="F19"/>
  <c r="C17" i="3"/>
  <c r="F388" i="17"/>
  <c r="F387" s="1"/>
  <c r="F386" s="1"/>
  <c r="F385" s="1"/>
  <c r="E388"/>
  <c r="E387" s="1"/>
  <c r="E386" s="1"/>
  <c r="E385" s="1"/>
  <c r="D27" i="18" l="1"/>
  <c r="F592" i="17"/>
  <c r="C27" i="18"/>
  <c r="E592" i="17"/>
  <c r="E234"/>
  <c r="F553"/>
  <c r="F546"/>
  <c r="E546"/>
  <c r="F541"/>
  <c r="E541"/>
  <c r="F538"/>
  <c r="E538"/>
  <c r="F539"/>
  <c r="E539"/>
  <c r="F534"/>
  <c r="E534"/>
  <c r="F532"/>
  <c r="E532"/>
  <c r="F525"/>
  <c r="F524" s="1"/>
  <c r="F523" s="1"/>
  <c r="E525"/>
  <c r="E524" s="1"/>
  <c r="E523" s="1"/>
  <c r="F522"/>
  <c r="E522"/>
  <c r="F519"/>
  <c r="E519"/>
  <c r="F518"/>
  <c r="E518"/>
  <c r="F516"/>
  <c r="E516"/>
  <c r="F513"/>
  <c r="E513"/>
  <c r="F508"/>
  <c r="E508"/>
  <c r="F501"/>
  <c r="F497"/>
  <c r="F492"/>
  <c r="E492"/>
  <c r="F487"/>
  <c r="E487"/>
  <c r="F481"/>
  <c r="E481"/>
  <c r="F464"/>
  <c r="E464"/>
  <c r="F463"/>
  <c r="E463"/>
  <c r="F459"/>
  <c r="E459"/>
  <c r="F456"/>
  <c r="E456"/>
  <c r="F453"/>
  <c r="E453"/>
  <c r="F450"/>
  <c r="E450"/>
  <c r="F446"/>
  <c r="E446"/>
  <c r="F439"/>
  <c r="E439"/>
  <c r="F436"/>
  <c r="E436"/>
  <c r="F434"/>
  <c r="E434"/>
  <c r="F432"/>
  <c r="E432"/>
  <c r="F429"/>
  <c r="E429"/>
  <c r="F427"/>
  <c r="F425"/>
  <c r="F411"/>
  <c r="F410" s="1"/>
  <c r="E411"/>
  <c r="E410" s="1"/>
  <c r="F413"/>
  <c r="F412" s="1"/>
  <c r="E413"/>
  <c r="E412" s="1"/>
  <c r="F415"/>
  <c r="F414" s="1"/>
  <c r="E415"/>
  <c r="E414" s="1"/>
  <c r="F419"/>
  <c r="E419"/>
  <c r="F407"/>
  <c r="E407"/>
  <c r="F393"/>
  <c r="E393"/>
  <c r="F384"/>
  <c r="E384"/>
  <c r="F381"/>
  <c r="E381"/>
  <c r="F377"/>
  <c r="E377"/>
  <c r="F359"/>
  <c r="F358" s="1"/>
  <c r="F357" s="1"/>
  <c r="E359"/>
  <c r="E358" s="1"/>
  <c r="E357" s="1"/>
  <c r="F366"/>
  <c r="E366"/>
  <c r="F362"/>
  <c r="E362"/>
  <c r="F356"/>
  <c r="E356"/>
  <c r="F353"/>
  <c r="E353"/>
  <c r="F349"/>
  <c r="E349"/>
  <c r="F346"/>
  <c r="E346"/>
  <c r="F343"/>
  <c r="E343"/>
  <c r="F340"/>
  <c r="E340"/>
  <c r="F330"/>
  <c r="F329" s="1"/>
  <c r="F328" s="1"/>
  <c r="E330"/>
  <c r="E329" s="1"/>
  <c r="E328" s="1"/>
  <c r="F327"/>
  <c r="F326" s="1"/>
  <c r="F325" s="1"/>
  <c r="E327"/>
  <c r="E326" s="1"/>
  <c r="E325" s="1"/>
  <c r="F324"/>
  <c r="E324"/>
  <c r="F321"/>
  <c r="E321"/>
  <c r="F317"/>
  <c r="E317"/>
  <c r="F314"/>
  <c r="E314"/>
  <c r="F306"/>
  <c r="E306"/>
  <c r="F301"/>
  <c r="E301"/>
  <c r="F297"/>
  <c r="E297"/>
  <c r="F290"/>
  <c r="E290"/>
  <c r="F284"/>
  <c r="E284"/>
  <c r="F281"/>
  <c r="E281"/>
  <c r="F276"/>
  <c r="F270"/>
  <c r="E270"/>
  <c r="F267"/>
  <c r="E267"/>
  <c r="F264"/>
  <c r="E264"/>
  <c r="F259"/>
  <c r="E259"/>
  <c r="F256"/>
  <c r="E256"/>
  <c r="F250"/>
  <c r="E250"/>
  <c r="F247"/>
  <c r="E247"/>
  <c r="F244"/>
  <c r="E244"/>
  <c r="F238"/>
  <c r="F237" s="1"/>
  <c r="E238"/>
  <c r="E237" s="1"/>
  <c r="F241"/>
  <c r="E241"/>
  <c r="F234"/>
  <c r="F223"/>
  <c r="E223"/>
  <c r="F216"/>
  <c r="E216"/>
  <c r="F212"/>
  <c r="E212"/>
  <c r="F207"/>
  <c r="F206" s="1"/>
  <c r="F205" s="1"/>
  <c r="F204" s="1"/>
  <c r="E207"/>
  <c r="E206" s="1"/>
  <c r="E205" s="1"/>
  <c r="E204" s="1"/>
  <c r="F192"/>
  <c r="F191" s="1"/>
  <c r="F190" s="1"/>
  <c r="F189" s="1"/>
  <c r="F622" s="1"/>
  <c r="E192"/>
  <c r="E191" s="1"/>
  <c r="E190" s="1"/>
  <c r="E189" s="1"/>
  <c r="E622" s="1"/>
  <c r="F187"/>
  <c r="E187"/>
  <c r="F181"/>
  <c r="E181"/>
  <c r="F174"/>
  <c r="E174"/>
  <c r="F169"/>
  <c r="E169"/>
  <c r="F163"/>
  <c r="F162" s="1"/>
  <c r="F161" s="1"/>
  <c r="E163"/>
  <c r="E162" s="1"/>
  <c r="E161" s="1"/>
  <c r="F153"/>
  <c r="E153"/>
  <c r="F151"/>
  <c r="E151"/>
  <c r="F148"/>
  <c r="E148"/>
  <c r="F146"/>
  <c r="F143"/>
  <c r="E143"/>
  <c r="F138"/>
  <c r="E138"/>
  <c r="F133"/>
  <c r="F132" s="1"/>
  <c r="F131" s="1"/>
  <c r="E133"/>
  <c r="E132" s="1"/>
  <c r="E131" s="1"/>
  <c r="F130"/>
  <c r="F128"/>
  <c r="E130"/>
  <c r="E128"/>
  <c r="F98"/>
  <c r="E98"/>
  <c r="F93"/>
  <c r="E93"/>
  <c r="F70"/>
  <c r="E70"/>
  <c r="F124"/>
  <c r="E124"/>
  <c r="F121"/>
  <c r="E121"/>
  <c r="F114"/>
  <c r="E114"/>
  <c r="F112"/>
  <c r="E112"/>
  <c r="F108"/>
  <c r="E108"/>
  <c r="F101"/>
  <c r="E101"/>
  <c r="F88"/>
  <c r="F87" s="1"/>
  <c r="F86" s="1"/>
  <c r="E88"/>
  <c r="E87" s="1"/>
  <c r="E86" s="1"/>
  <c r="F85"/>
  <c r="F84" s="1"/>
  <c r="F83" s="1"/>
  <c r="E85"/>
  <c r="E84" s="1"/>
  <c r="E83" s="1"/>
  <c r="F81"/>
  <c r="E81"/>
  <c r="F79"/>
  <c r="E79"/>
  <c r="F77"/>
  <c r="E77"/>
  <c r="F73"/>
  <c r="E73"/>
  <c r="F64"/>
  <c r="E64"/>
  <c r="F61"/>
  <c r="E61"/>
  <c r="F58"/>
  <c r="E58"/>
  <c r="F56"/>
  <c r="F54"/>
  <c r="E54"/>
  <c r="F49"/>
  <c r="E49"/>
  <c r="F43"/>
  <c r="E43"/>
  <c r="F41"/>
  <c r="E41"/>
  <c r="F36"/>
  <c r="E36"/>
  <c r="F33"/>
  <c r="E33"/>
  <c r="F31"/>
  <c r="E31"/>
  <c r="F29"/>
  <c r="E29"/>
  <c r="F26"/>
  <c r="E26"/>
  <c r="F21"/>
  <c r="E21"/>
  <c r="F220" i="22"/>
  <c r="E203" i="17" l="1"/>
  <c r="E567" s="1"/>
  <c r="E613"/>
  <c r="F203"/>
  <c r="F567" s="1"/>
  <c r="F613"/>
  <c r="F188"/>
  <c r="F574"/>
  <c r="G69" i="18" s="1"/>
  <c r="E188" i="17"/>
  <c r="E574"/>
  <c r="F69" i="18" s="1"/>
  <c r="F409" i="17"/>
  <c r="F408" s="1"/>
  <c r="E409"/>
  <c r="E408" s="1"/>
  <c r="F82"/>
  <c r="F608" s="1"/>
  <c r="E82"/>
  <c r="E608" s="1"/>
  <c r="F78" i="22"/>
  <c r="F80"/>
  <c r="F198" i="17"/>
  <c r="E198"/>
  <c r="F400"/>
  <c r="F351" i="25"/>
  <c r="E400" i="17" s="1"/>
  <c r="I716" i="16" l="1"/>
  <c r="J706"/>
  <c r="K706"/>
  <c r="L706"/>
  <c r="J703"/>
  <c r="K703"/>
  <c r="L703"/>
  <c r="J698"/>
  <c r="K698"/>
  <c r="L698"/>
  <c r="J697"/>
  <c r="K697"/>
  <c r="J696"/>
  <c r="K696"/>
  <c r="L696"/>
  <c r="J695"/>
  <c r="K695"/>
  <c r="L695"/>
  <c r="J694"/>
  <c r="K694"/>
  <c r="L694"/>
  <c r="J693"/>
  <c r="K693"/>
  <c r="L693"/>
  <c r="J692"/>
  <c r="K692"/>
  <c r="K691"/>
  <c r="J690"/>
  <c r="K690"/>
  <c r="L690"/>
  <c r="J689"/>
  <c r="K689"/>
  <c r="L689"/>
  <c r="J688"/>
  <c r="K688"/>
  <c r="K699" l="1"/>
  <c r="E276" i="17"/>
  <c r="F370"/>
  <c r="E370"/>
  <c r="E497" l="1"/>
  <c r="G428" i="25"/>
  <c r="G427" s="1"/>
  <c r="F428"/>
  <c r="F427" s="1"/>
  <c r="K678" i="16" l="1"/>
  <c r="L496"/>
  <c r="L521"/>
  <c r="L431"/>
  <c r="L366"/>
  <c r="L365" s="1"/>
  <c r="L364" s="1"/>
  <c r="L363" s="1"/>
  <c r="L286"/>
  <c r="L285" s="1"/>
  <c r="L313"/>
  <c r="L293"/>
  <c r="L254"/>
  <c r="L244"/>
  <c r="L200"/>
  <c r="L199" s="1"/>
  <c r="L198" s="1"/>
  <c r="L197" s="1"/>
  <c r="L196" s="1"/>
  <c r="L676"/>
  <c r="L674"/>
  <c r="L673" s="1"/>
  <c r="L671"/>
  <c r="L670" s="1"/>
  <c r="L669" s="1"/>
  <c r="L668" s="1"/>
  <c r="L667" s="1"/>
  <c r="L666" s="1"/>
  <c r="L664"/>
  <c r="L663" s="1"/>
  <c r="L661"/>
  <c r="L660" s="1"/>
  <c r="L658"/>
  <c r="L657" s="1"/>
  <c r="L656" s="1"/>
  <c r="L655" s="1"/>
  <c r="L654" s="1"/>
  <c r="L653" s="1"/>
  <c r="L652" s="1"/>
  <c r="L650"/>
  <c r="L647"/>
  <c r="L646" s="1"/>
  <c r="L645" s="1"/>
  <c r="L644" s="1"/>
  <c r="L643" s="1"/>
  <c r="L641"/>
  <c r="L640"/>
  <c r="L639" s="1"/>
  <c r="L638" s="1"/>
  <c r="L637" s="1"/>
  <c r="L636"/>
  <c r="L634"/>
  <c r="L633"/>
  <c r="L631"/>
  <c r="L630"/>
  <c r="L629" s="1"/>
  <c r="L627"/>
  <c r="L624"/>
  <c r="L623"/>
  <c r="L622"/>
  <c r="L620"/>
  <c r="L619"/>
  <c r="L614"/>
  <c r="L613" s="1"/>
  <c r="L612" s="1"/>
  <c r="L610"/>
  <c r="L608"/>
  <c r="L605" s="1"/>
  <c r="L604" s="1"/>
  <c r="L606"/>
  <c r="L602"/>
  <c r="L601" s="1"/>
  <c r="L600" s="1"/>
  <c r="L599" s="1"/>
  <c r="L598"/>
  <c r="L597" s="1"/>
  <c r="L595"/>
  <c r="L594" s="1"/>
  <c r="L592"/>
  <c r="L591" s="1"/>
  <c r="L589"/>
  <c r="L588" s="1"/>
  <c r="L581" s="1"/>
  <c r="L586"/>
  <c r="L585" s="1"/>
  <c r="L583"/>
  <c r="L582" s="1"/>
  <c r="L579"/>
  <c r="L578"/>
  <c r="L577" s="1"/>
  <c r="L576" s="1"/>
  <c r="L575" s="1"/>
  <c r="L574" s="1"/>
  <c r="L572"/>
  <c r="L571"/>
  <c r="L570" s="1"/>
  <c r="L568"/>
  <c r="L567" s="1"/>
  <c r="L566" s="1"/>
  <c r="L564"/>
  <c r="L563"/>
  <c r="L561"/>
  <c r="L560"/>
  <c r="L558"/>
  <c r="L557"/>
  <c r="L555"/>
  <c r="L554"/>
  <c r="L552"/>
  <c r="L551"/>
  <c r="L548"/>
  <c r="L547" s="1"/>
  <c r="L545"/>
  <c r="L544" s="1"/>
  <c r="L542"/>
  <c r="L541" s="1"/>
  <c r="L539"/>
  <c r="L538" s="1"/>
  <c r="L537"/>
  <c r="L532"/>
  <c r="L531" s="1"/>
  <c r="L530"/>
  <c r="L528"/>
  <c r="L527"/>
  <c r="L525"/>
  <c r="L524"/>
  <c r="L522"/>
  <c r="L519"/>
  <c r="L518"/>
  <c r="L516"/>
  <c r="L515"/>
  <c r="L513"/>
  <c r="L512"/>
  <c r="L510"/>
  <c r="L509"/>
  <c r="L506"/>
  <c r="L505" s="1"/>
  <c r="L504"/>
  <c r="L503" s="1"/>
  <c r="L502"/>
  <c r="L501" s="1"/>
  <c r="L494"/>
  <c r="L492"/>
  <c r="L490"/>
  <c r="L489"/>
  <c r="L487"/>
  <c r="L486"/>
  <c r="L485" s="1"/>
  <c r="L483"/>
  <c r="L482" s="1"/>
  <c r="L481"/>
  <c r="L480" s="1"/>
  <c r="L479"/>
  <c r="L477"/>
  <c r="L476"/>
  <c r="L475" s="1"/>
  <c r="L474"/>
  <c r="L472"/>
  <c r="L471"/>
  <c r="L469"/>
  <c r="L467"/>
  <c r="L464" s="1"/>
  <c r="L465"/>
  <c r="L462"/>
  <c r="L461"/>
  <c r="L455"/>
  <c r="L454"/>
  <c r="L453" s="1"/>
  <c r="L452"/>
  <c r="L451" s="1"/>
  <c r="L450" s="1"/>
  <c r="L448"/>
  <c r="L447"/>
  <c r="L446" s="1"/>
  <c r="L445"/>
  <c r="L443"/>
  <c r="L442"/>
  <c r="L440"/>
  <c r="L439"/>
  <c r="L437"/>
  <c r="L436"/>
  <c r="L433"/>
  <c r="L424"/>
  <c r="L423" s="1"/>
  <c r="L421"/>
  <c r="L420" s="1"/>
  <c r="L417"/>
  <c r="L415"/>
  <c r="L414"/>
  <c r="L412"/>
  <c r="L411"/>
  <c r="L406"/>
  <c r="L405" s="1"/>
  <c r="L404"/>
  <c r="L402"/>
  <c r="L401"/>
  <c r="L400" s="1"/>
  <c r="L399" s="1"/>
  <c r="L397"/>
  <c r="L396"/>
  <c r="L395" s="1"/>
  <c r="L394"/>
  <c r="L393" s="1"/>
  <c r="L391"/>
  <c r="L390" s="1"/>
  <c r="L389"/>
  <c r="L388"/>
  <c r="L385"/>
  <c r="L384"/>
  <c r="L383"/>
  <c r="L382" s="1"/>
  <c r="L381" s="1"/>
  <c r="L378"/>
  <c r="L377"/>
  <c r="L376"/>
  <c r="L374"/>
  <c r="L373"/>
  <c r="L371"/>
  <c r="L370"/>
  <c r="L368"/>
  <c r="L367"/>
  <c r="L362"/>
  <c r="L361"/>
  <c r="L360"/>
  <c r="L354"/>
  <c r="L353"/>
  <c r="L352" s="1"/>
  <c r="L350"/>
  <c r="L349" s="1"/>
  <c r="L348"/>
  <c r="L347"/>
  <c r="L346" s="1"/>
  <c r="L345" s="1"/>
  <c r="L340"/>
  <c r="L339"/>
  <c r="L338"/>
  <c r="L337"/>
  <c r="L335"/>
  <c r="L334"/>
  <c r="L333"/>
  <c r="L331"/>
  <c r="L330" s="1"/>
  <c r="L329" s="1"/>
  <c r="L328" s="1"/>
  <c r="L327" s="1"/>
  <c r="L326" s="1"/>
  <c r="L324"/>
  <c r="L323" s="1"/>
  <c r="L319" s="1"/>
  <c r="L318" s="1"/>
  <c r="L317" s="1"/>
  <c r="L321"/>
  <c r="L320" s="1"/>
  <c r="L315"/>
  <c r="L314"/>
  <c r="L312"/>
  <c r="L311" s="1"/>
  <c r="L309"/>
  <c r="L308"/>
  <c r="L306"/>
  <c r="L305" s="1"/>
  <c r="L302"/>
  <c r="L301" s="1"/>
  <c r="L300"/>
  <c r="L295" s="1"/>
  <c r="L298"/>
  <c r="L297"/>
  <c r="L296" s="1"/>
  <c r="L292"/>
  <c r="L291" s="1"/>
  <c r="L289"/>
  <c r="L288"/>
  <c r="L281"/>
  <c r="L280"/>
  <c r="L278"/>
  <c r="L277" s="1"/>
  <c r="L275"/>
  <c r="L274" s="1"/>
  <c r="L273" s="1"/>
  <c r="L272" s="1"/>
  <c r="L265"/>
  <c r="L264" s="1"/>
  <c r="L262"/>
  <c r="L261"/>
  <c r="L259"/>
  <c r="L258" s="1"/>
  <c r="L256"/>
  <c r="L255"/>
  <c r="L253"/>
  <c r="L252" s="1"/>
  <c r="L250"/>
  <c r="L249"/>
  <c r="L247"/>
  <c r="L242" s="1"/>
  <c r="L245"/>
  <c r="L243"/>
  <c r="L237"/>
  <c r="L236"/>
  <c r="L235" s="1"/>
  <c r="L234"/>
  <c r="L232"/>
  <c r="L231"/>
  <c r="L230" s="1"/>
  <c r="L229"/>
  <c r="L228"/>
  <c r="L225"/>
  <c r="L224"/>
  <c r="L223"/>
  <c r="L218" s="1"/>
  <c r="L208" s="1"/>
  <c r="L221"/>
  <c r="L220" s="1"/>
  <c r="L219"/>
  <c r="L216"/>
  <c r="L215" s="1"/>
  <c r="L214" s="1"/>
  <c r="L213" s="1"/>
  <c r="L211"/>
  <c r="L210" s="1"/>
  <c r="L209"/>
  <c r="L206"/>
  <c r="L205" s="1"/>
  <c r="L203"/>
  <c r="L202"/>
  <c r="L194"/>
  <c r="L193"/>
  <c r="L192"/>
  <c r="L191" s="1"/>
  <c r="L189"/>
  <c r="L188" s="1"/>
  <c r="L183"/>
  <c r="L182" s="1"/>
  <c r="L177"/>
  <c r="L176"/>
  <c r="L175"/>
  <c r="L174"/>
  <c r="L173" s="1"/>
  <c r="L172"/>
  <c r="L171"/>
  <c r="L170"/>
  <c r="L169" s="1"/>
  <c r="L168"/>
  <c r="L167" s="1"/>
  <c r="L166"/>
  <c r="L165" s="1"/>
  <c r="L164"/>
  <c r="L162"/>
  <c r="L161" s="1"/>
  <c r="L160" s="1"/>
  <c r="L159" s="1"/>
  <c r="L158" s="1"/>
  <c r="L157" s="1"/>
  <c r="L155"/>
  <c r="L153"/>
  <c r="L152"/>
  <c r="L150"/>
  <c r="L147" s="1"/>
  <c r="L148"/>
  <c r="L145"/>
  <c r="L143"/>
  <c r="L142" s="1"/>
  <c r="L140"/>
  <c r="L138"/>
  <c r="L137"/>
  <c r="L135"/>
  <c r="L134"/>
  <c r="L132"/>
  <c r="L130"/>
  <c r="L129" s="1"/>
  <c r="L126"/>
  <c r="L125"/>
  <c r="L123"/>
  <c r="L121"/>
  <c r="L120" s="1"/>
  <c r="L119"/>
  <c r="L117" s="1"/>
  <c r="L116"/>
  <c r="L114"/>
  <c r="L111" s="1"/>
  <c r="L113"/>
  <c r="L112" s="1"/>
  <c r="L108"/>
  <c r="L105" s="1"/>
  <c r="L104" s="1"/>
  <c r="L103" s="1"/>
  <c r="L107"/>
  <c r="L106"/>
  <c r="L101"/>
  <c r="L100"/>
  <c r="L98"/>
  <c r="L97" s="1"/>
  <c r="L96"/>
  <c r="L95" s="1"/>
  <c r="L93"/>
  <c r="L92" s="1"/>
  <c r="L91"/>
  <c r="L90"/>
  <c r="L88"/>
  <c r="L87" s="1"/>
  <c r="L85"/>
  <c r="L84"/>
  <c r="L83"/>
  <c r="L81"/>
  <c r="L79"/>
  <c r="L77"/>
  <c r="L76"/>
  <c r="L75" s="1"/>
  <c r="L73"/>
  <c r="L72"/>
  <c r="L70"/>
  <c r="L69" s="1"/>
  <c r="L68"/>
  <c r="L64"/>
  <c r="L63" s="1"/>
  <c r="L62" s="1"/>
  <c r="L61" s="1"/>
  <c r="L59"/>
  <c r="L58"/>
  <c r="L57" s="1"/>
  <c r="L56" s="1"/>
  <c r="L54"/>
  <c r="L53"/>
  <c r="L51" s="1"/>
  <c r="L50" s="1"/>
  <c r="L52"/>
  <c r="L48"/>
  <c r="L47"/>
  <c r="L46" s="1"/>
  <c r="L45"/>
  <c r="L44" s="1"/>
  <c r="L43" s="1"/>
  <c r="L41"/>
  <c r="L40"/>
  <c r="L39" s="1"/>
  <c r="L38" s="1"/>
  <c r="L34"/>
  <c r="L33" s="1"/>
  <c r="L32" s="1"/>
  <c r="L31" s="1"/>
  <c r="L29"/>
  <c r="L28"/>
  <c r="L27" s="1"/>
  <c r="L26" s="1"/>
  <c r="L23"/>
  <c r="L21"/>
  <c r="L18" s="1"/>
  <c r="L17" s="1"/>
  <c r="L16" s="1"/>
  <c r="L19"/>
  <c r="I504"/>
  <c r="I313"/>
  <c r="I293"/>
  <c r="I287"/>
  <c r="L67" l="1"/>
  <c r="L284"/>
  <c r="L283" s="1"/>
  <c r="L500"/>
  <c r="L499" s="1"/>
  <c r="L498" s="1"/>
  <c r="L15"/>
  <c r="L14" s="1"/>
  <c r="L181"/>
  <c r="L180"/>
  <c r="L179" s="1"/>
  <c r="L186"/>
  <c r="L185" s="1"/>
  <c r="L178" s="1"/>
  <c r="L691" s="1"/>
  <c r="L187"/>
  <c r="L241"/>
  <c r="L240" s="1"/>
  <c r="L239" s="1"/>
  <c r="L25"/>
  <c r="L128"/>
  <c r="L110" s="1"/>
  <c r="L66" s="1"/>
  <c r="L37" s="1"/>
  <c r="L688" s="1"/>
  <c r="L304"/>
  <c r="L303" s="1"/>
  <c r="L294" s="1"/>
  <c r="L344"/>
  <c r="L343" s="1"/>
  <c r="L342" s="1"/>
  <c r="L435"/>
  <c r="L618"/>
  <c r="L617" s="1"/>
  <c r="L616" s="1"/>
  <c r="L430"/>
  <c r="L429" s="1"/>
  <c r="L508"/>
  <c r="L626"/>
  <c r="L410"/>
  <c r="L409" s="1"/>
  <c r="L408" s="1"/>
  <c r="L387" s="1"/>
  <c r="L460"/>
  <c r="L459" s="1"/>
  <c r="L458" s="1"/>
  <c r="L457" s="1"/>
  <c r="L550"/>
  <c r="L536" s="1"/>
  <c r="L535" s="1"/>
  <c r="L534" s="1"/>
  <c r="L359"/>
  <c r="L358" s="1"/>
  <c r="L357" s="1"/>
  <c r="L356" s="1"/>
  <c r="L271" l="1"/>
  <c r="L227" s="1"/>
  <c r="L497"/>
  <c r="L428"/>
  <c r="L427" s="1"/>
  <c r="L426" s="1"/>
  <c r="L697" s="1"/>
  <c r="L36" l="1"/>
  <c r="L692"/>
  <c r="L699" s="1"/>
  <c r="G148" i="25"/>
  <c r="F149"/>
  <c r="E146" i="17" s="1"/>
  <c r="G144" i="25"/>
  <c r="F141" i="17" s="1"/>
  <c r="F144" i="25"/>
  <c r="E141" i="17" s="1"/>
  <c r="G139" i="25"/>
  <c r="F139"/>
  <c r="E136" i="17" s="1"/>
  <c r="G119" i="25"/>
  <c r="F119"/>
  <c r="G19"/>
  <c r="G21"/>
  <c r="G23"/>
  <c r="G29"/>
  <c r="G28" s="1"/>
  <c r="G27" s="1"/>
  <c r="G34"/>
  <c r="G33" s="1"/>
  <c r="G32" s="1"/>
  <c r="G41"/>
  <c r="G40" s="1"/>
  <c r="G39" s="1"/>
  <c r="G38" s="1"/>
  <c r="G46"/>
  <c r="G48"/>
  <c r="G54"/>
  <c r="G53" s="1"/>
  <c r="G59"/>
  <c r="G58" s="1"/>
  <c r="G57" s="1"/>
  <c r="G56" s="1"/>
  <c r="G64"/>
  <c r="G63" s="1"/>
  <c r="G62" s="1"/>
  <c r="G61" s="1"/>
  <c r="G70"/>
  <c r="G69" s="1"/>
  <c r="G73"/>
  <c r="G72" s="1"/>
  <c r="G77"/>
  <c r="G79"/>
  <c r="G81"/>
  <c r="G85"/>
  <c r="G84" s="1"/>
  <c r="G88"/>
  <c r="G87" s="1"/>
  <c r="G93"/>
  <c r="G92" s="1"/>
  <c r="G91" s="1"/>
  <c r="G98"/>
  <c r="G97" s="1"/>
  <c r="G101"/>
  <c r="G100" s="1"/>
  <c r="G107"/>
  <c r="G108"/>
  <c r="G112"/>
  <c r="G114"/>
  <c r="G121"/>
  <c r="G120" s="1"/>
  <c r="G123"/>
  <c r="G126"/>
  <c r="G125" s="1"/>
  <c r="G130"/>
  <c r="G132"/>
  <c r="G135"/>
  <c r="G134" s="1"/>
  <c r="G140"/>
  <c r="G145"/>
  <c r="G150"/>
  <c r="G153"/>
  <c r="G155"/>
  <c r="G162"/>
  <c r="G165"/>
  <c r="G164" s="1"/>
  <c r="G171"/>
  <c r="G170" s="1"/>
  <c r="G169" s="1"/>
  <c r="G168" s="1"/>
  <c r="G176"/>
  <c r="G175" s="1"/>
  <c r="G174" s="1"/>
  <c r="G173" s="1"/>
  <c r="G183"/>
  <c r="G182" s="1"/>
  <c r="G189"/>
  <c r="G188" s="1"/>
  <c r="G194"/>
  <c r="G193" s="1"/>
  <c r="G192" s="1"/>
  <c r="G203"/>
  <c r="G202" s="1"/>
  <c r="G206"/>
  <c r="G205" s="1"/>
  <c r="G212"/>
  <c r="G211" s="1"/>
  <c r="G210" s="1"/>
  <c r="G217"/>
  <c r="G216" s="1"/>
  <c r="G215" s="1"/>
  <c r="D65" i="18" s="1"/>
  <c r="G221" i="25"/>
  <c r="G228"/>
  <c r="G227" s="1"/>
  <c r="G226" s="1"/>
  <c r="G225" s="1"/>
  <c r="G233"/>
  <c r="G232" s="1"/>
  <c r="G231" s="1"/>
  <c r="G230" s="1"/>
  <c r="G239"/>
  <c r="G242"/>
  <c r="G243"/>
  <c r="G246"/>
  <c r="G245" s="1"/>
  <c r="G249"/>
  <c r="G248" s="1"/>
  <c r="G252"/>
  <c r="G251" s="1"/>
  <c r="G255"/>
  <c r="G254" s="1"/>
  <c r="G258"/>
  <c r="G257" s="1"/>
  <c r="G261"/>
  <c r="G260" s="1"/>
  <c r="G271"/>
  <c r="G270" s="1"/>
  <c r="G274"/>
  <c r="G273" s="1"/>
  <c r="G277"/>
  <c r="G276" s="1"/>
  <c r="G282"/>
  <c r="G281" s="1"/>
  <c r="G285"/>
  <c r="G284" s="1"/>
  <c r="G288"/>
  <c r="G287" s="1"/>
  <c r="G294"/>
  <c r="G293" s="1"/>
  <c r="G292" s="1"/>
  <c r="D77" i="18" s="1"/>
  <c r="G297" i="25"/>
  <c r="G296" s="1"/>
  <c r="G302"/>
  <c r="G301" s="1"/>
  <c r="G305"/>
  <c r="G304" s="1"/>
  <c r="G308"/>
  <c r="G307" s="1"/>
  <c r="G311"/>
  <c r="G310" s="1"/>
  <c r="G317"/>
  <c r="G316" s="1"/>
  <c r="G320"/>
  <c r="G319" s="1"/>
  <c r="G327"/>
  <c r="G326" s="1"/>
  <c r="G325" s="1"/>
  <c r="D38" i="18" s="1"/>
  <c r="G331" i="25"/>
  <c r="G330" s="1"/>
  <c r="G329" s="1"/>
  <c r="D39" i="18" s="1"/>
  <c r="G336" i="25"/>
  <c r="G334" s="1"/>
  <c r="G343"/>
  <c r="G342" s="1"/>
  <c r="G346"/>
  <c r="G345" s="1"/>
  <c r="G350"/>
  <c r="G349" s="1"/>
  <c r="G357"/>
  <c r="G356" s="1"/>
  <c r="G361"/>
  <c r="G360" s="1"/>
  <c r="G364"/>
  <c r="G363" s="1"/>
  <c r="G367"/>
  <c r="G366" s="1"/>
  <c r="G370"/>
  <c r="G369" s="1"/>
  <c r="G374"/>
  <c r="G373" s="1"/>
  <c r="G372" s="1"/>
  <c r="G381"/>
  <c r="G380" s="1"/>
  <c r="G379" s="1"/>
  <c r="G378" s="1"/>
  <c r="G377" s="1"/>
  <c r="G392"/>
  <c r="G391" s="1"/>
  <c r="G390" s="1"/>
  <c r="G389" s="1"/>
  <c r="G398"/>
  <c r="G397" s="1"/>
  <c r="G403"/>
  <c r="G402" s="1"/>
  <c r="G401" s="1"/>
  <c r="G407"/>
  <c r="G406" s="1"/>
  <c r="G405" s="1"/>
  <c r="G413"/>
  <c r="G412" s="1"/>
  <c r="G416"/>
  <c r="G418"/>
  <c r="G422"/>
  <c r="G421" s="1"/>
  <c r="G425"/>
  <c r="G424" s="1"/>
  <c r="G435"/>
  <c r="G437"/>
  <c r="G441"/>
  <c r="G440" s="1"/>
  <c r="G444"/>
  <c r="G443" s="1"/>
  <c r="G447"/>
  <c r="G446" s="1"/>
  <c r="G452"/>
  <c r="G451" s="1"/>
  <c r="G450" s="1"/>
  <c r="G459"/>
  <c r="G458" s="1"/>
  <c r="G457" s="1"/>
  <c r="G456" s="1"/>
  <c r="G455" s="1"/>
  <c r="G454" s="1"/>
  <c r="G466"/>
  <c r="G465" s="1"/>
  <c r="G469"/>
  <c r="G471"/>
  <c r="G473"/>
  <c r="G476"/>
  <c r="G475" s="1"/>
  <c r="G481"/>
  <c r="G480" s="1"/>
  <c r="G479" s="1"/>
  <c r="G478" s="1"/>
  <c r="G487"/>
  <c r="G486" s="1"/>
  <c r="G485" s="1"/>
  <c r="G484" s="1"/>
  <c r="G491"/>
  <c r="G490" s="1"/>
  <c r="G489" s="1"/>
  <c r="G503"/>
  <c r="G502" s="1"/>
  <c r="G507"/>
  <c r="G506" s="1"/>
  <c r="G510"/>
  <c r="G509" s="1"/>
  <c r="G513"/>
  <c r="G512" s="1"/>
  <c r="G519"/>
  <c r="G518" s="1"/>
  <c r="G522"/>
  <c r="G521" s="1"/>
  <c r="G525"/>
  <c r="G524" s="1"/>
  <c r="G529"/>
  <c r="G528" s="1"/>
  <c r="G527" s="1"/>
  <c r="G536"/>
  <c r="G535" s="1"/>
  <c r="G539"/>
  <c r="G538" s="1"/>
  <c r="G542"/>
  <c r="G541" s="1"/>
  <c r="G545"/>
  <c r="G544" s="1"/>
  <c r="G549"/>
  <c r="G548" s="1"/>
  <c r="G552"/>
  <c r="G551" s="1"/>
  <c r="G558"/>
  <c r="G557" s="1"/>
  <c r="G561"/>
  <c r="G560" s="1"/>
  <c r="G565"/>
  <c r="G564" s="1"/>
  <c r="G563" s="1"/>
  <c r="G569"/>
  <c r="G568" s="1"/>
  <c r="G567" s="1"/>
  <c r="G576"/>
  <c r="G575" s="1"/>
  <c r="G574" s="1"/>
  <c r="G580"/>
  <c r="G579" s="1"/>
  <c r="G583"/>
  <c r="G582" s="1"/>
  <c r="G586"/>
  <c r="G585" s="1"/>
  <c r="G589"/>
  <c r="G588" s="1"/>
  <c r="G592"/>
  <c r="G591" s="1"/>
  <c r="G599"/>
  <c r="G598" s="1"/>
  <c r="G597" s="1"/>
  <c r="G603"/>
  <c r="G605"/>
  <c r="G607"/>
  <c r="G611"/>
  <c r="G610" s="1"/>
  <c r="G609" s="1"/>
  <c r="G617"/>
  <c r="G619"/>
  <c r="G621"/>
  <c r="G624"/>
  <c r="G626"/>
  <c r="G628"/>
  <c r="G631"/>
  <c r="G630" s="1"/>
  <c r="G638"/>
  <c r="G637" s="1"/>
  <c r="G636" s="1"/>
  <c r="G635" s="1"/>
  <c r="G634" s="1"/>
  <c r="G647"/>
  <c r="G644" s="1"/>
  <c r="G655"/>
  <c r="G654" s="1"/>
  <c r="G658"/>
  <c r="G657" s="1"/>
  <c r="G661"/>
  <c r="G660" s="1"/>
  <c r="G671"/>
  <c r="G673"/>
  <c r="F674"/>
  <c r="F671"/>
  <c r="F668"/>
  <c r="F667" s="1"/>
  <c r="F661"/>
  <c r="F660" s="1"/>
  <c r="F658"/>
  <c r="F657" s="1"/>
  <c r="F656"/>
  <c r="F655" s="1"/>
  <c r="F654" s="1"/>
  <c r="F647"/>
  <c r="F644" s="1"/>
  <c r="F638"/>
  <c r="F637" s="1"/>
  <c r="F636" s="1"/>
  <c r="F635" s="1"/>
  <c r="F634" s="1"/>
  <c r="F631"/>
  <c r="F630" s="1"/>
  <c r="F628"/>
  <c r="F626"/>
  <c r="F624"/>
  <c r="F621"/>
  <c r="F620"/>
  <c r="F618"/>
  <c r="F611"/>
  <c r="F610" s="1"/>
  <c r="F609" s="1"/>
  <c r="F607"/>
  <c r="F605"/>
  <c r="F603"/>
  <c r="F599"/>
  <c r="F598" s="1"/>
  <c r="F597" s="1"/>
  <c r="F592"/>
  <c r="F591" s="1"/>
  <c r="F589"/>
  <c r="F588" s="1"/>
  <c r="F586"/>
  <c r="F585" s="1"/>
  <c r="F583"/>
  <c r="F582" s="1"/>
  <c r="F580"/>
  <c r="F579" s="1"/>
  <c r="F576"/>
  <c r="F575" s="1"/>
  <c r="F574" s="1"/>
  <c r="F569"/>
  <c r="F568" s="1"/>
  <c r="F567" s="1"/>
  <c r="F565"/>
  <c r="F564" s="1"/>
  <c r="F563" s="1"/>
  <c r="F561"/>
  <c r="F560" s="1"/>
  <c r="F558"/>
  <c r="F557" s="1"/>
  <c r="F555"/>
  <c r="F554" s="1"/>
  <c r="F552"/>
  <c r="F551" s="1"/>
  <c r="F549"/>
  <c r="F548" s="1"/>
  <c r="F545"/>
  <c r="F544" s="1"/>
  <c r="F542"/>
  <c r="F541" s="1"/>
  <c r="F539"/>
  <c r="F538" s="1"/>
  <c r="F536"/>
  <c r="F535" s="1"/>
  <c r="F529"/>
  <c r="F528" s="1"/>
  <c r="F527" s="1"/>
  <c r="F525"/>
  <c r="F522"/>
  <c r="F521" s="1"/>
  <c r="F519"/>
  <c r="F518" s="1"/>
  <c r="F516"/>
  <c r="F515" s="1"/>
  <c r="F513"/>
  <c r="F512" s="1"/>
  <c r="F510"/>
  <c r="F509" s="1"/>
  <c r="F507"/>
  <c r="F506" s="1"/>
  <c r="F503"/>
  <c r="F502" s="1"/>
  <c r="F500"/>
  <c r="F499" s="1"/>
  <c r="F491"/>
  <c r="F490" s="1"/>
  <c r="F489" s="1"/>
  <c r="F487"/>
  <c r="F486" s="1"/>
  <c r="F485" s="1"/>
  <c r="F484" s="1"/>
  <c r="F481"/>
  <c r="F480" s="1"/>
  <c r="F479" s="1"/>
  <c r="F478" s="1"/>
  <c r="F476"/>
  <c r="F475" s="1"/>
  <c r="F473"/>
  <c r="F471"/>
  <c r="F469"/>
  <c r="F466"/>
  <c r="F465" s="1"/>
  <c r="F460"/>
  <c r="F452"/>
  <c r="F451" s="1"/>
  <c r="F450" s="1"/>
  <c r="F447"/>
  <c r="F446" s="1"/>
  <c r="F444"/>
  <c r="F443" s="1"/>
  <c r="F441"/>
  <c r="F440" s="1"/>
  <c r="F437"/>
  <c r="F435"/>
  <c r="F425"/>
  <c r="F424" s="1"/>
  <c r="F422"/>
  <c r="F421" s="1"/>
  <c r="F418"/>
  <c r="F416"/>
  <c r="F413"/>
  <c r="F412" s="1"/>
  <c r="F408"/>
  <c r="F403"/>
  <c r="F402" s="1"/>
  <c r="F401" s="1"/>
  <c r="F398"/>
  <c r="F397" s="1"/>
  <c r="F392"/>
  <c r="F391" s="1"/>
  <c r="F390" s="1"/>
  <c r="F389" s="1"/>
  <c r="F381"/>
  <c r="F380" s="1"/>
  <c r="F379" s="1"/>
  <c r="F378" s="1"/>
  <c r="F377" s="1"/>
  <c r="F374"/>
  <c r="F373" s="1"/>
  <c r="F372" s="1"/>
  <c r="F370"/>
  <c r="F369" s="1"/>
  <c r="F367"/>
  <c r="F366" s="1"/>
  <c r="F364"/>
  <c r="F363" s="1"/>
  <c r="F361"/>
  <c r="F360" s="1"/>
  <c r="F357"/>
  <c r="F356" s="1"/>
  <c r="F350"/>
  <c r="F349" s="1"/>
  <c r="F346"/>
  <c r="F345" s="1"/>
  <c r="F343"/>
  <c r="F342" s="1"/>
  <c r="F336"/>
  <c r="F334" s="1"/>
  <c r="F331"/>
  <c r="F330" s="1"/>
  <c r="F329" s="1"/>
  <c r="C39" i="18" s="1"/>
  <c r="F327" i="25"/>
  <c r="F326" s="1"/>
  <c r="F325" s="1"/>
  <c r="C38" i="18" s="1"/>
  <c r="F320" i="25"/>
  <c r="F319" s="1"/>
  <c r="F317"/>
  <c r="F316" s="1"/>
  <c r="F311"/>
  <c r="F310" s="1"/>
  <c r="F308"/>
  <c r="F307" s="1"/>
  <c r="F305"/>
  <c r="F304" s="1"/>
  <c r="F302"/>
  <c r="F301" s="1"/>
  <c r="F297"/>
  <c r="F296" s="1"/>
  <c r="F294"/>
  <c r="F293" s="1"/>
  <c r="F292" s="1"/>
  <c r="F288"/>
  <c r="F287" s="1"/>
  <c r="F285"/>
  <c r="F284" s="1"/>
  <c r="F282"/>
  <c r="F281" s="1"/>
  <c r="F277"/>
  <c r="F276" s="1"/>
  <c r="F274"/>
  <c r="F273" s="1"/>
  <c r="F271"/>
  <c r="F270" s="1"/>
  <c r="F261"/>
  <c r="F260" s="1"/>
  <c r="F258"/>
  <c r="F257" s="1"/>
  <c r="F255"/>
  <c r="F254" s="1"/>
  <c r="F252"/>
  <c r="F251" s="1"/>
  <c r="F249"/>
  <c r="F248" s="1"/>
  <c r="F246"/>
  <c r="F245" s="1"/>
  <c r="F243"/>
  <c r="F242"/>
  <c r="F239"/>
  <c r="F233"/>
  <c r="F232" s="1"/>
  <c r="F231" s="1"/>
  <c r="F230" s="1"/>
  <c r="F228"/>
  <c r="F227" s="1"/>
  <c r="F226" s="1"/>
  <c r="F225" s="1"/>
  <c r="F221"/>
  <c r="F220" s="1"/>
  <c r="F219" s="1"/>
  <c r="C66" i="18" s="1"/>
  <c r="F217" i="25"/>
  <c r="F216" s="1"/>
  <c r="F215" s="1"/>
  <c r="C65" i="18" s="1"/>
  <c r="F212" i="25"/>
  <c r="F211" s="1"/>
  <c r="F210" s="1"/>
  <c r="F206"/>
  <c r="F205" s="1"/>
  <c r="F203"/>
  <c r="F202" s="1"/>
  <c r="F200"/>
  <c r="F199" s="1"/>
  <c r="F194"/>
  <c r="F193" s="1"/>
  <c r="F192" s="1"/>
  <c r="F189"/>
  <c r="F188" s="1"/>
  <c r="F186" s="1"/>
  <c r="F183"/>
  <c r="F182" s="1"/>
  <c r="F176"/>
  <c r="F175" s="1"/>
  <c r="F174" s="1"/>
  <c r="F173" s="1"/>
  <c r="F171"/>
  <c r="F170" s="1"/>
  <c r="F169" s="1"/>
  <c r="F168" s="1"/>
  <c r="F165"/>
  <c r="F164" s="1"/>
  <c r="F162"/>
  <c r="F155"/>
  <c r="F153"/>
  <c r="F150"/>
  <c r="F148"/>
  <c r="F145"/>
  <c r="F143"/>
  <c r="F140"/>
  <c r="F138"/>
  <c r="F135"/>
  <c r="F134" s="1"/>
  <c r="F132"/>
  <c r="F130"/>
  <c r="F126"/>
  <c r="F125" s="1"/>
  <c r="F123"/>
  <c r="F121"/>
  <c r="F120" s="1"/>
  <c r="F114"/>
  <c r="F112"/>
  <c r="F108"/>
  <c r="F107"/>
  <c r="F101"/>
  <c r="F100" s="1"/>
  <c r="F98"/>
  <c r="F97" s="1"/>
  <c r="F93"/>
  <c r="F92" s="1"/>
  <c r="F91" s="1"/>
  <c r="F88"/>
  <c r="F87" s="1"/>
  <c r="F85"/>
  <c r="F84" s="1"/>
  <c r="F81"/>
  <c r="F79"/>
  <c r="F77"/>
  <c r="F73"/>
  <c r="F72" s="1"/>
  <c r="F70"/>
  <c r="F69" s="1"/>
  <c r="F64"/>
  <c r="F63" s="1"/>
  <c r="F62" s="1"/>
  <c r="F61" s="1"/>
  <c r="F59"/>
  <c r="F58" s="1"/>
  <c r="F57" s="1"/>
  <c r="F56" s="1"/>
  <c r="F54"/>
  <c r="F53" s="1"/>
  <c r="F51" s="1"/>
  <c r="F50" s="1"/>
  <c r="F48"/>
  <c r="F46"/>
  <c r="F41"/>
  <c r="F40" s="1"/>
  <c r="F39" s="1"/>
  <c r="F38" s="1"/>
  <c r="F34"/>
  <c r="F33" s="1"/>
  <c r="F32" s="1"/>
  <c r="F29"/>
  <c r="F28" s="1"/>
  <c r="F27" s="1"/>
  <c r="F23"/>
  <c r="F21"/>
  <c r="F19"/>
  <c r="E225" i="23"/>
  <c r="F245" i="22"/>
  <c r="F243"/>
  <c r="D51" i="15"/>
  <c r="C51"/>
  <c r="C61"/>
  <c r="D58"/>
  <c r="C58"/>
  <c r="D59"/>
  <c r="C59"/>
  <c r="C57"/>
  <c r="C56"/>
  <c r="D54"/>
  <c r="C54"/>
  <c r="D53"/>
  <c r="C53"/>
  <c r="D52"/>
  <c r="C52"/>
  <c r="D49"/>
  <c r="G643" i="25" l="1"/>
  <c r="G642" s="1"/>
  <c r="G641" s="1"/>
  <c r="G640" s="1"/>
  <c r="C77" i="18"/>
  <c r="C50" i="15"/>
  <c r="D50"/>
  <c r="G143" i="25"/>
  <c r="G142" s="1"/>
  <c r="F241"/>
  <c r="F238" s="1"/>
  <c r="F237" s="1"/>
  <c r="E236" i="17"/>
  <c r="E235" s="1"/>
  <c r="F619" i="25"/>
  <c r="E427" i="17"/>
  <c r="F117" i="25"/>
  <c r="F116" s="1"/>
  <c r="E118" i="17"/>
  <c r="E116" s="1"/>
  <c r="E115" s="1"/>
  <c r="F673" i="25"/>
  <c r="F670" s="1"/>
  <c r="E56" i="17"/>
  <c r="G117" i="25"/>
  <c r="G116" s="1"/>
  <c r="F118" i="17"/>
  <c r="F116" s="1"/>
  <c r="F115" s="1"/>
  <c r="F106" i="25"/>
  <c r="F105" s="1"/>
  <c r="F104" s="1"/>
  <c r="E106" i="17"/>
  <c r="F407" i="25"/>
  <c r="F406" s="1"/>
  <c r="F405" s="1"/>
  <c r="E501" i="17"/>
  <c r="F459" i="25"/>
  <c r="F458" s="1"/>
  <c r="F457" s="1"/>
  <c r="F456" s="1"/>
  <c r="F455" s="1"/>
  <c r="F454" s="1"/>
  <c r="E553" i="17"/>
  <c r="G106" i="25"/>
  <c r="G105" s="1"/>
  <c r="G104" s="1"/>
  <c r="F106" i="17"/>
  <c r="F617" i="25"/>
  <c r="F616" s="1"/>
  <c r="E425" i="17"/>
  <c r="G241" i="25"/>
  <c r="G238" s="1"/>
  <c r="G237" s="1"/>
  <c r="F236" i="17"/>
  <c r="F235" s="1"/>
  <c r="G138" i="25"/>
  <c r="G137" s="1"/>
  <c r="F136" i="17"/>
  <c r="F209" i="25"/>
  <c r="C55" i="18"/>
  <c r="C54" s="1"/>
  <c r="G209" i="25"/>
  <c r="D55" i="18"/>
  <c r="D54" s="1"/>
  <c r="G220" i="25"/>
  <c r="G219" s="1"/>
  <c r="G191"/>
  <c r="D70" i="18"/>
  <c r="D69" s="1"/>
  <c r="F191" i="25"/>
  <c r="C70" i="18"/>
  <c r="C69" s="1"/>
  <c r="F449" i="25"/>
  <c r="C72" i="18"/>
  <c r="G449" i="25"/>
  <c r="D72" i="18"/>
  <c r="F333" i="25"/>
  <c r="C63" i="18"/>
  <c r="G333" i="25"/>
  <c r="D63" i="18"/>
  <c r="F31" i="25"/>
  <c r="G31"/>
  <c r="F400"/>
  <c r="C57" i="18"/>
  <c r="G400" i="25"/>
  <c r="D57" i="18"/>
  <c r="F90" i="25"/>
  <c r="C53" i="18"/>
  <c r="G90" i="25"/>
  <c r="D53" i="18"/>
  <c r="G26" i="25"/>
  <c r="F26"/>
  <c r="F396"/>
  <c r="F395" s="1"/>
  <c r="C44" i="18"/>
  <c r="G396" i="25"/>
  <c r="G395" s="1"/>
  <c r="D44" i="18"/>
  <c r="G633" i="25"/>
  <c r="F300"/>
  <c r="F355"/>
  <c r="C32" i="18" s="1"/>
  <c r="F578" i="25"/>
  <c r="F573" s="1"/>
  <c r="F572" s="1"/>
  <c r="F571" s="1"/>
  <c r="F161"/>
  <c r="F160" s="1"/>
  <c r="F159" s="1"/>
  <c r="F158" s="1"/>
  <c r="F157" s="1"/>
  <c r="E160" i="17"/>
  <c r="F18" i="25"/>
  <c r="F17" s="1"/>
  <c r="F16" s="1"/>
  <c r="F129"/>
  <c r="F524"/>
  <c r="F505" s="1"/>
  <c r="E333" i="17"/>
  <c r="G161" i="25"/>
  <c r="G160" s="1"/>
  <c r="G159" s="1"/>
  <c r="G158" s="1"/>
  <c r="G157" s="1"/>
  <c r="F160" i="17"/>
  <c r="F643" i="25"/>
  <c r="F642" s="1"/>
  <c r="F641" s="1"/>
  <c r="F640" s="1"/>
  <c r="F633" s="1"/>
  <c r="G147"/>
  <c r="G348"/>
  <c r="F348"/>
  <c r="G578"/>
  <c r="G573" s="1"/>
  <c r="G572" s="1"/>
  <c r="G571" s="1"/>
  <c r="F142"/>
  <c r="F468"/>
  <c r="F464" s="1"/>
  <c r="F463" s="1"/>
  <c r="F111"/>
  <c r="F137"/>
  <c r="F147"/>
  <c r="G602"/>
  <c r="G601" s="1"/>
  <c r="G596" s="1"/>
  <c r="G595" s="1"/>
  <c r="G594" s="1"/>
  <c r="G76"/>
  <c r="G75" s="1"/>
  <c r="D47" i="18" s="1"/>
  <c r="F335" i="25"/>
  <c r="F602"/>
  <c r="F601" s="1"/>
  <c r="F596" s="1"/>
  <c r="F595" s="1"/>
  <c r="F594" s="1"/>
  <c r="G152"/>
  <c r="G468"/>
  <c r="G464" s="1"/>
  <c r="G463" s="1"/>
  <c r="G45"/>
  <c r="G44" s="1"/>
  <c r="G43" s="1"/>
  <c r="F434"/>
  <c r="F433" s="1"/>
  <c r="C41" i="18" s="1"/>
  <c r="G652" i="25"/>
  <c r="G651" s="1"/>
  <c r="G650" s="1"/>
  <c r="G649" s="1"/>
  <c r="F76"/>
  <c r="F75" s="1"/>
  <c r="C47" i="18" s="1"/>
  <c r="F341" i="25"/>
  <c r="G439"/>
  <c r="D42" i="18" s="1"/>
  <c r="G434" i="25"/>
  <c r="G433" s="1"/>
  <c r="D41" i="18" s="1"/>
  <c r="G415" i="25"/>
  <c r="G224"/>
  <c r="G18"/>
  <c r="G17" s="1"/>
  <c r="G16" s="1"/>
  <c r="F96"/>
  <c r="F95" s="1"/>
  <c r="F167"/>
  <c r="G670"/>
  <c r="G666" s="1"/>
  <c r="G665" s="1"/>
  <c r="G664" s="1"/>
  <c r="G663" s="1"/>
  <c r="F198"/>
  <c r="F187"/>
  <c r="G315"/>
  <c r="G314" s="1"/>
  <c r="G313" s="1"/>
  <c r="G300"/>
  <c r="G616"/>
  <c r="F224"/>
  <c r="G355"/>
  <c r="D32" i="18" s="1"/>
  <c r="G359" i="25"/>
  <c r="F623"/>
  <c r="G269"/>
  <c r="G167"/>
  <c r="F83"/>
  <c r="C48" i="18" s="1"/>
  <c r="G324" i="25"/>
  <c r="G83"/>
  <c r="D48" i="18" s="1"/>
  <c r="F45" i="25"/>
  <c r="F44" s="1"/>
  <c r="F43" s="1"/>
  <c r="F68"/>
  <c r="C46" i="18" s="1"/>
  <c r="F315" i="25"/>
  <c r="F314" s="1"/>
  <c r="F313" s="1"/>
  <c r="F359"/>
  <c r="G96"/>
  <c r="G95" s="1"/>
  <c r="G68"/>
  <c r="D46" i="18" s="1"/>
  <c r="F415" i="25"/>
  <c r="F411" s="1"/>
  <c r="F152"/>
  <c r="G129"/>
  <c r="G111"/>
  <c r="G534"/>
  <c r="G483"/>
  <c r="G341"/>
  <c r="G280"/>
  <c r="G51"/>
  <c r="G50" s="1"/>
  <c r="G52"/>
  <c r="G186"/>
  <c r="G185" s="1"/>
  <c r="G187"/>
  <c r="G623"/>
  <c r="G181"/>
  <c r="G180"/>
  <c r="G179" s="1"/>
  <c r="G291"/>
  <c r="G335"/>
  <c r="F181"/>
  <c r="F180"/>
  <c r="F179" s="1"/>
  <c r="F214"/>
  <c r="F483"/>
  <c r="F185"/>
  <c r="F324"/>
  <c r="F498"/>
  <c r="C16" i="18" s="1"/>
  <c r="F534" i="25"/>
  <c r="F547"/>
  <c r="C21" i="18" s="1"/>
  <c r="F653" i="25"/>
  <c r="F652" s="1"/>
  <c r="F651" s="1"/>
  <c r="F650" s="1"/>
  <c r="F649" s="1"/>
  <c r="F52"/>
  <c r="F269"/>
  <c r="F280"/>
  <c r="F291"/>
  <c r="F439"/>
  <c r="C42" i="18" s="1"/>
  <c r="I706" i="16"/>
  <c r="G677" i="25" l="1"/>
  <c r="F677"/>
  <c r="F208"/>
  <c r="F323"/>
  <c r="F322" s="1"/>
  <c r="D45" i="18"/>
  <c r="C45"/>
  <c r="D66"/>
  <c r="G214" i="25"/>
  <c r="G208" s="1"/>
  <c r="C22" i="18"/>
  <c r="D22"/>
  <c r="G299" i="25"/>
  <c r="G290" s="1"/>
  <c r="D79" i="18"/>
  <c r="F299" i="25"/>
  <c r="F290" s="1"/>
  <c r="C79" i="18"/>
  <c r="F279" i="25"/>
  <c r="C74" i="18"/>
  <c r="G279" i="25"/>
  <c r="D74" i="18"/>
  <c r="G25" i="25"/>
  <c r="G15" s="1"/>
  <c r="G14" s="1"/>
  <c r="F103"/>
  <c r="G103"/>
  <c r="D68" i="18"/>
  <c r="G323" i="25"/>
  <c r="G322" s="1"/>
  <c r="F394"/>
  <c r="F25"/>
  <c r="F15" s="1"/>
  <c r="F14" s="1"/>
  <c r="F197"/>
  <c r="F196" s="1"/>
  <c r="F178" s="1"/>
  <c r="C61" i="18"/>
  <c r="C59"/>
  <c r="D59"/>
  <c r="G394" i="25"/>
  <c r="F268"/>
  <c r="C51" i="18"/>
  <c r="G268" i="25"/>
  <c r="D51" i="18"/>
  <c r="G236" i="25"/>
  <c r="G235" s="1"/>
  <c r="D50" i="18"/>
  <c r="F236" i="25"/>
  <c r="F235" s="1"/>
  <c r="C50" i="18"/>
  <c r="F615" i="25"/>
  <c r="F614" s="1"/>
  <c r="F613" s="1"/>
  <c r="F128"/>
  <c r="F110" s="1"/>
  <c r="G411"/>
  <c r="G410" s="1"/>
  <c r="G409" s="1"/>
  <c r="F666"/>
  <c r="F665" s="1"/>
  <c r="F664" s="1"/>
  <c r="F663" s="1"/>
  <c r="G340"/>
  <c r="G339" s="1"/>
  <c r="G338" s="1"/>
  <c r="F340"/>
  <c r="F339" s="1"/>
  <c r="F338" s="1"/>
  <c r="G462"/>
  <c r="G461" s="1"/>
  <c r="G128"/>
  <c r="G110" s="1"/>
  <c r="F410"/>
  <c r="F409" s="1"/>
  <c r="F432"/>
  <c r="F431" s="1"/>
  <c r="F430" s="1"/>
  <c r="G432"/>
  <c r="G431" s="1"/>
  <c r="G430" s="1"/>
  <c r="G354"/>
  <c r="G353" s="1"/>
  <c r="G352" s="1"/>
  <c r="F67"/>
  <c r="G615"/>
  <c r="G614" s="1"/>
  <c r="G613" s="1"/>
  <c r="F497"/>
  <c r="G67"/>
  <c r="F354"/>
  <c r="F353" s="1"/>
  <c r="F352" s="1"/>
  <c r="F533"/>
  <c r="F532" s="1"/>
  <c r="F531" s="1"/>
  <c r="F462"/>
  <c r="F461" s="1"/>
  <c r="F632" i="22"/>
  <c r="F639"/>
  <c r="F681"/>
  <c r="F684"/>
  <c r="F686"/>
  <c r="F668"/>
  <c r="I254" i="16"/>
  <c r="I362"/>
  <c r="I432"/>
  <c r="I623"/>
  <c r="I630"/>
  <c r="I348"/>
  <c r="I166"/>
  <c r="I113"/>
  <c r="F496" i="25" l="1"/>
  <c r="F495" s="1"/>
  <c r="F494" s="1"/>
  <c r="F493" s="1"/>
  <c r="F267"/>
  <c r="F223" s="1"/>
  <c r="F388"/>
  <c r="G388"/>
  <c r="G267"/>
  <c r="G223" s="1"/>
  <c r="F66"/>
  <c r="F37" s="1"/>
  <c r="G66"/>
  <c r="G37" s="1"/>
  <c r="H295" i="16"/>
  <c r="F36" i="25" l="1"/>
  <c r="F675" s="1"/>
  <c r="G178" i="16"/>
  <c r="C87" i="18" l="1"/>
  <c r="J191" i="16"/>
  <c r="J192"/>
  <c r="G192"/>
  <c r="G191" s="1"/>
  <c r="H192"/>
  <c r="H191" s="1"/>
  <c r="I192"/>
  <c r="I191"/>
  <c r="F192"/>
  <c r="F191"/>
  <c r="I65" l="1"/>
  <c r="G216"/>
  <c r="G215" s="1"/>
  <c r="G214" s="1"/>
  <c r="G213" s="1"/>
  <c r="H216"/>
  <c r="H215" s="1"/>
  <c r="H214" s="1"/>
  <c r="H213" s="1"/>
  <c r="I216"/>
  <c r="I215" s="1"/>
  <c r="J217"/>
  <c r="F216"/>
  <c r="F215" s="1"/>
  <c r="F214" s="1"/>
  <c r="F213" s="1"/>
  <c r="J215" l="1"/>
  <c r="J216"/>
  <c r="I214"/>
  <c r="I213" l="1"/>
  <c r="J213" s="1"/>
  <c r="J214"/>
  <c r="H713" l="1"/>
  <c r="I713"/>
  <c r="G713"/>
  <c r="H712"/>
  <c r="I712"/>
  <c r="G712"/>
  <c r="H711"/>
  <c r="I711"/>
  <c r="G711"/>
  <c r="G703"/>
  <c r="J195" l="1"/>
  <c r="E207" i="23"/>
  <c r="E206" s="1"/>
  <c r="E205" s="1"/>
  <c r="E204" s="1"/>
  <c r="E203" s="1"/>
  <c r="E624"/>
  <c r="F449" i="22"/>
  <c r="F448" s="1"/>
  <c r="F452"/>
  <c r="F451" s="1"/>
  <c r="J441" i="16"/>
  <c r="J444"/>
  <c r="I443"/>
  <c r="J443" s="1"/>
  <c r="H443"/>
  <c r="G443"/>
  <c r="F443"/>
  <c r="I442"/>
  <c r="H442"/>
  <c r="J442" s="1"/>
  <c r="G442"/>
  <c r="F442"/>
  <c r="I440"/>
  <c r="H440"/>
  <c r="G440"/>
  <c r="F440"/>
  <c r="I439"/>
  <c r="J439" s="1"/>
  <c r="H439"/>
  <c r="G439"/>
  <c r="F439"/>
  <c r="J440" l="1"/>
  <c r="E621" i="23"/>
  <c r="F196" i="22"/>
  <c r="F195" s="1"/>
  <c r="F194" s="1"/>
  <c r="F193" s="1"/>
  <c r="F720" s="1"/>
  <c r="F630"/>
  <c r="I172" i="16"/>
  <c r="G194"/>
  <c r="G193" s="1"/>
  <c r="H194"/>
  <c r="H193" s="1"/>
  <c r="I194"/>
  <c r="F194"/>
  <c r="F193"/>
  <c r="H107"/>
  <c r="I193" l="1"/>
  <c r="J193" s="1"/>
  <c r="J194"/>
  <c r="F174" i="22"/>
  <c r="F209"/>
  <c r="H432" i="16" l="1"/>
  <c r="H119"/>
  <c r="F20" i="22" l="1"/>
  <c r="F475"/>
  <c r="F472"/>
  <c r="H466" i="16"/>
  <c r="H463"/>
  <c r="H20"/>
  <c r="E623" i="23" l="1"/>
  <c r="E622" s="1"/>
  <c r="F101" i="22"/>
  <c r="F416"/>
  <c r="F673"/>
  <c r="F672" s="1"/>
  <c r="F168"/>
  <c r="I47" i="16"/>
  <c r="J665" l="1"/>
  <c r="G664"/>
  <c r="G663" s="1"/>
  <c r="H664"/>
  <c r="H663" s="1"/>
  <c r="I664"/>
  <c r="I663" s="1"/>
  <c r="F664"/>
  <c r="F663" s="1"/>
  <c r="J663" l="1"/>
  <c r="J664"/>
  <c r="F363" i="22"/>
  <c r="F349"/>
  <c r="F115"/>
  <c r="I177" i="16" l="1"/>
  <c r="C52" i="24" l="1"/>
  <c r="G245" i="16"/>
  <c r="H245"/>
  <c r="I245"/>
  <c r="G247"/>
  <c r="H247"/>
  <c r="I247"/>
  <c r="I107"/>
  <c r="G494"/>
  <c r="H494"/>
  <c r="I494"/>
  <c r="G492"/>
  <c r="H492"/>
  <c r="I492"/>
  <c r="G490"/>
  <c r="G489" s="1"/>
  <c r="H490"/>
  <c r="H489" s="1"/>
  <c r="I490"/>
  <c r="I489" s="1"/>
  <c r="E463" i="23"/>
  <c r="E472"/>
  <c r="E333"/>
  <c r="E332" s="1"/>
  <c r="E285"/>
  <c r="E284" s="1"/>
  <c r="E283" s="1"/>
  <c r="E105"/>
  <c r="E75"/>
  <c r="E636"/>
  <c r="E629"/>
  <c r="E620"/>
  <c r="E619" s="1"/>
  <c r="E618"/>
  <c r="E617" s="1"/>
  <c r="E616" s="1"/>
  <c r="E612"/>
  <c r="E608"/>
  <c r="E606"/>
  <c r="E599"/>
  <c r="E593"/>
  <c r="E592"/>
  <c r="E590"/>
  <c r="E587"/>
  <c r="E582"/>
  <c r="E580"/>
  <c r="E573"/>
  <c r="E569"/>
  <c r="E564"/>
  <c r="E559"/>
  <c r="E553"/>
  <c r="E539"/>
  <c r="E533"/>
  <c r="E532"/>
  <c r="E528"/>
  <c r="E522"/>
  <c r="E518"/>
  <c r="E511"/>
  <c r="E508"/>
  <c r="E506"/>
  <c r="E504"/>
  <c r="E501"/>
  <c r="E499"/>
  <c r="E497"/>
  <c r="E491"/>
  <c r="E487"/>
  <c r="E485"/>
  <c r="E483"/>
  <c r="E479"/>
  <c r="E468"/>
  <c r="E450"/>
  <c r="E460"/>
  <c r="E453"/>
  <c r="E446" l="1"/>
  <c r="E439" l="1"/>
  <c r="E435"/>
  <c r="E431"/>
  <c r="E428"/>
  <c r="E425"/>
  <c r="E422"/>
  <c r="E419"/>
  <c r="E415"/>
  <c r="E412"/>
  <c r="E409"/>
  <c r="E406"/>
  <c r="E395"/>
  <c r="E383"/>
  <c r="E380"/>
  <c r="E377"/>
  <c r="E374"/>
  <c r="E370"/>
  <c r="E367"/>
  <c r="E359"/>
  <c r="E354"/>
  <c r="E350"/>
  <c r="E343"/>
  <c r="E340"/>
  <c r="E331"/>
  <c r="E328"/>
  <c r="E325"/>
  <c r="E317"/>
  <c r="E308"/>
  <c r="E305"/>
  <c r="E302"/>
  <c r="E294"/>
  <c r="E293" s="1"/>
  <c r="E292" s="1"/>
  <c r="E297"/>
  <c r="E282"/>
  <c r="E291"/>
  <c r="E263"/>
  <c r="E260"/>
  <c r="E257"/>
  <c r="E255"/>
  <c r="E253"/>
  <c r="E242"/>
  <c r="E224"/>
  <c r="E235"/>
  <c r="E231"/>
  <c r="E219"/>
  <c r="E216"/>
  <c r="E213"/>
  <c r="E202"/>
  <c r="E196"/>
  <c r="E189"/>
  <c r="E184"/>
  <c r="E178"/>
  <c r="E175"/>
  <c r="E168"/>
  <c r="E166"/>
  <c r="E163"/>
  <c r="E161"/>
  <c r="E153"/>
  <c r="E158"/>
  <c r="E156"/>
  <c r="E151"/>
  <c r="E148"/>
  <c r="E145"/>
  <c r="E143"/>
  <c r="E136"/>
  <c r="E133"/>
  <c r="E130"/>
  <c r="E128"/>
  <c r="E121"/>
  <c r="E119"/>
  <c r="E115"/>
  <c r="E113"/>
  <c r="E108"/>
  <c r="E100"/>
  <c r="E95"/>
  <c r="E90"/>
  <c r="E86"/>
  <c r="E84"/>
  <c r="E82"/>
  <c r="E78"/>
  <c r="E69"/>
  <c r="E64"/>
  <c r="E54"/>
  <c r="E56"/>
  <c r="E61"/>
  <c r="E58"/>
  <c r="E49"/>
  <c r="E43"/>
  <c r="E41"/>
  <c r="E36"/>
  <c r="E33"/>
  <c r="E31"/>
  <c r="E29"/>
  <c r="E26"/>
  <c r="J109" i="16" l="1"/>
  <c r="E21" i="23"/>
  <c r="I703" i="16"/>
  <c r="F685" i="22"/>
  <c r="F683"/>
  <c r="F680"/>
  <c r="F679" s="1"/>
  <c r="F670"/>
  <c r="F669" s="1"/>
  <c r="F667"/>
  <c r="F666" s="1"/>
  <c r="F659"/>
  <c r="F656" s="1"/>
  <c r="F655" s="1"/>
  <c r="F654" s="1"/>
  <c r="F653" s="1"/>
  <c r="F652" s="1"/>
  <c r="F650"/>
  <c r="F649" s="1"/>
  <c r="F648" s="1"/>
  <c r="F647" s="1"/>
  <c r="F646" s="1"/>
  <c r="F643"/>
  <c r="F642" s="1"/>
  <c r="F640"/>
  <c r="F638"/>
  <c r="F636"/>
  <c r="F633"/>
  <c r="F631"/>
  <c r="F629"/>
  <c r="F623"/>
  <c r="F622" s="1"/>
  <c r="F621" s="1"/>
  <c r="F619"/>
  <c r="F617"/>
  <c r="F615"/>
  <c r="F611"/>
  <c r="F610" s="1"/>
  <c r="F609" s="1"/>
  <c r="F604"/>
  <c r="F603" s="1"/>
  <c r="F601"/>
  <c r="F600" s="1"/>
  <c r="F598"/>
  <c r="F597" s="1"/>
  <c r="F595"/>
  <c r="F594" s="1"/>
  <c r="F592"/>
  <c r="F591" s="1"/>
  <c r="F588"/>
  <c r="F587" s="1"/>
  <c r="F586" s="1"/>
  <c r="F581"/>
  <c r="F580" s="1"/>
  <c r="F579" s="1"/>
  <c r="F577"/>
  <c r="F576" s="1"/>
  <c r="F575" s="1"/>
  <c r="F573"/>
  <c r="F572" s="1"/>
  <c r="F570"/>
  <c r="F569" s="1"/>
  <c r="F567"/>
  <c r="F566" s="1"/>
  <c r="F564"/>
  <c r="F563" s="1"/>
  <c r="F561"/>
  <c r="F560" s="1"/>
  <c r="F557"/>
  <c r="F556" s="1"/>
  <c r="F554"/>
  <c r="F553" s="1"/>
  <c r="F551"/>
  <c r="F550" s="1"/>
  <c r="F548"/>
  <c r="F547" s="1"/>
  <c r="F541"/>
  <c r="F540" s="1"/>
  <c r="F539" s="1"/>
  <c r="F537"/>
  <c r="F536" s="1"/>
  <c r="F534"/>
  <c r="F533" s="1"/>
  <c r="F531"/>
  <c r="F530" s="1"/>
  <c r="F528"/>
  <c r="F527" s="1"/>
  <c r="F525"/>
  <c r="F524" s="1"/>
  <c r="F522"/>
  <c r="F521" s="1"/>
  <c r="F519"/>
  <c r="F518" s="1"/>
  <c r="F515"/>
  <c r="F514" s="1"/>
  <c r="F512"/>
  <c r="F511" s="1"/>
  <c r="F496"/>
  <c r="F495" s="1"/>
  <c r="F494" s="1"/>
  <c r="F492"/>
  <c r="F491" s="1"/>
  <c r="F490" s="1"/>
  <c r="F489" s="1"/>
  <c r="F486"/>
  <c r="F485" s="1"/>
  <c r="F484" s="1"/>
  <c r="F483" s="1"/>
  <c r="F481"/>
  <c r="F480" s="1"/>
  <c r="F478"/>
  <c r="F476"/>
  <c r="F474"/>
  <c r="F471"/>
  <c r="F470" s="1"/>
  <c r="F464"/>
  <c r="F463" s="1"/>
  <c r="F462" s="1"/>
  <c r="F461" s="1"/>
  <c r="F460" s="1"/>
  <c r="F459" s="1"/>
  <c r="F702" s="1"/>
  <c r="F457"/>
  <c r="F456" s="1"/>
  <c r="F455" s="1"/>
  <c r="F454" s="1"/>
  <c r="F721" s="1"/>
  <c r="F446"/>
  <c r="F445" s="1"/>
  <c r="F444" s="1"/>
  <c r="F442"/>
  <c r="F440"/>
  <c r="F433"/>
  <c r="F432" s="1"/>
  <c r="F430"/>
  <c r="F429" s="1"/>
  <c r="F426"/>
  <c r="F424"/>
  <c r="F421"/>
  <c r="F420" s="1"/>
  <c r="F415"/>
  <c r="F414" s="1"/>
  <c r="F413" s="1"/>
  <c r="F411"/>
  <c r="F410" s="1"/>
  <c r="F409" s="1"/>
  <c r="F408" s="1"/>
  <c r="F714" s="1"/>
  <c r="F406"/>
  <c r="F405" s="1"/>
  <c r="F404" s="1"/>
  <c r="F403" s="1"/>
  <c r="F709" s="1"/>
  <c r="F400"/>
  <c r="F399" s="1"/>
  <c r="F398" s="1"/>
  <c r="F397" s="1"/>
  <c r="F386"/>
  <c r="F385" s="1"/>
  <c r="F379"/>
  <c r="F378" s="1"/>
  <c r="F377" s="1"/>
  <c r="F375"/>
  <c r="F374" s="1"/>
  <c r="F372"/>
  <c r="F371" s="1"/>
  <c r="F369"/>
  <c r="F368" s="1"/>
  <c r="F366"/>
  <c r="F365" s="1"/>
  <c r="F362"/>
  <c r="F361" s="1"/>
  <c r="F355"/>
  <c r="F354" s="1"/>
  <c r="F353" s="1"/>
  <c r="F351"/>
  <c r="F350" s="1"/>
  <c r="F348"/>
  <c r="F347" s="1"/>
  <c r="F341"/>
  <c r="F339" s="1"/>
  <c r="F338" s="1"/>
  <c r="F717" s="1"/>
  <c r="F336"/>
  <c r="F335" s="1"/>
  <c r="F334" s="1"/>
  <c r="F332"/>
  <c r="F331" s="1"/>
  <c r="F330" s="1"/>
  <c r="F325"/>
  <c r="F324" s="1"/>
  <c r="F322"/>
  <c r="F321" s="1"/>
  <c r="F293"/>
  <c r="F292" s="1"/>
  <c r="F313"/>
  <c r="F312" s="1"/>
  <c r="F310"/>
  <c r="F309" s="1"/>
  <c r="F307"/>
  <c r="F306" s="1"/>
  <c r="E320" i="23"/>
  <c r="F299" i="22"/>
  <c r="F298" s="1"/>
  <c r="F297" s="1"/>
  <c r="F290"/>
  <c r="F289" s="1"/>
  <c r="F287"/>
  <c r="F286" s="1"/>
  <c r="F284"/>
  <c r="F283" s="1"/>
  <c r="F279"/>
  <c r="F278" s="1"/>
  <c r="F276"/>
  <c r="F275" s="1"/>
  <c r="F273"/>
  <c r="F272" s="1"/>
  <c r="F263"/>
  <c r="F262" s="1"/>
  <c r="F260"/>
  <c r="F259" s="1"/>
  <c r="F257"/>
  <c r="F256" s="1"/>
  <c r="F254"/>
  <c r="F253" s="1"/>
  <c r="F251"/>
  <c r="F250" s="1"/>
  <c r="F248"/>
  <c r="F247" s="1"/>
  <c r="F241"/>
  <c r="F240" s="1"/>
  <c r="F235"/>
  <c r="F234" s="1"/>
  <c r="F233" s="1"/>
  <c r="F232" s="1"/>
  <c r="F230"/>
  <c r="F229" s="1"/>
  <c r="F228" s="1"/>
  <c r="F227" s="1"/>
  <c r="F223"/>
  <c r="F222" s="1"/>
  <c r="F221" s="1"/>
  <c r="F219"/>
  <c r="F218" s="1"/>
  <c r="F217" s="1"/>
  <c r="F214"/>
  <c r="F213" s="1"/>
  <c r="F212" s="1"/>
  <c r="F211" s="1"/>
  <c r="F713" s="1"/>
  <c r="F208"/>
  <c r="F207" s="1"/>
  <c r="F205"/>
  <c r="F204" s="1"/>
  <c r="F202"/>
  <c r="F201" s="1"/>
  <c r="F191"/>
  <c r="F190" s="1"/>
  <c r="F188" s="1"/>
  <c r="F187" s="1"/>
  <c r="F185"/>
  <c r="F184" s="1"/>
  <c r="F178"/>
  <c r="F177" s="1"/>
  <c r="F176" s="1"/>
  <c r="F175" s="1"/>
  <c r="F173"/>
  <c r="F172" s="1"/>
  <c r="F171" s="1"/>
  <c r="F170" s="1"/>
  <c r="F167"/>
  <c r="F166" s="1"/>
  <c r="F164"/>
  <c r="F163" s="1"/>
  <c r="F162" s="1"/>
  <c r="F157"/>
  <c r="F155"/>
  <c r="F152"/>
  <c r="F150"/>
  <c r="F147"/>
  <c r="F145"/>
  <c r="F142"/>
  <c r="F140"/>
  <c r="F137"/>
  <c r="F136" s="1"/>
  <c r="F134"/>
  <c r="F132"/>
  <c r="F128"/>
  <c r="F127" s="1"/>
  <c r="F125"/>
  <c r="F123"/>
  <c r="F122" s="1"/>
  <c r="F121"/>
  <c r="E125" i="23" s="1"/>
  <c r="F116" i="22"/>
  <c r="F114"/>
  <c r="F110"/>
  <c r="F108"/>
  <c r="F103"/>
  <c r="F102" s="1"/>
  <c r="F100"/>
  <c r="F99" s="1"/>
  <c r="F95"/>
  <c r="F94" s="1"/>
  <c r="F93" s="1"/>
  <c r="F92" s="1"/>
  <c r="F712" s="1"/>
  <c r="F90"/>
  <c r="F87" s="1"/>
  <c r="F85"/>
  <c r="F84" s="1"/>
  <c r="F81"/>
  <c r="F79"/>
  <c r="F77"/>
  <c r="F73"/>
  <c r="F72" s="1"/>
  <c r="F70"/>
  <c r="F69" s="1"/>
  <c r="F64"/>
  <c r="F63" s="1"/>
  <c r="F62" s="1"/>
  <c r="F61" s="1"/>
  <c r="F59"/>
  <c r="F58" s="1"/>
  <c r="F57" s="1"/>
  <c r="F56" s="1"/>
  <c r="F54"/>
  <c r="F53" s="1"/>
  <c r="F51" s="1"/>
  <c r="F50" s="1"/>
  <c r="F48"/>
  <c r="F46"/>
  <c r="F41"/>
  <c r="F40" s="1"/>
  <c r="F39" s="1"/>
  <c r="F38" s="1"/>
  <c r="F34"/>
  <c r="F33" s="1"/>
  <c r="F32" s="1"/>
  <c r="F31" s="1"/>
  <c r="F29"/>
  <c r="F28" s="1"/>
  <c r="F27" s="1"/>
  <c r="F26" s="1"/>
  <c r="F23"/>
  <c r="F21"/>
  <c r="F19"/>
  <c r="C44" i="13"/>
  <c r="I522" i="16"/>
  <c r="I521" s="1"/>
  <c r="I525"/>
  <c r="I524" s="1"/>
  <c r="I586"/>
  <c r="I585" s="1"/>
  <c r="G595"/>
  <c r="G594" s="1"/>
  <c r="H595"/>
  <c r="H594" s="1"/>
  <c r="I595"/>
  <c r="I594" s="1"/>
  <c r="J279"/>
  <c r="G278"/>
  <c r="G277" s="1"/>
  <c r="H278"/>
  <c r="H277" s="1"/>
  <c r="I278"/>
  <c r="I277" s="1"/>
  <c r="F278"/>
  <c r="F277" s="1"/>
  <c r="F282" i="22" l="1"/>
  <c r="F281" s="1"/>
  <c r="F722" s="1"/>
  <c r="F305"/>
  <c r="F304" s="1"/>
  <c r="F364"/>
  <c r="F384"/>
  <c r="F383" s="1"/>
  <c r="F382" s="1"/>
  <c r="F665"/>
  <c r="F664" s="1"/>
  <c r="F663" s="1"/>
  <c r="F662" s="1"/>
  <c r="F661" s="1"/>
  <c r="F239"/>
  <c r="F238" s="1"/>
  <c r="F200"/>
  <c r="F199" s="1"/>
  <c r="F216"/>
  <c r="F517"/>
  <c r="F119"/>
  <c r="F118" s="1"/>
  <c r="F302"/>
  <c r="F301" s="1"/>
  <c r="F296" s="1"/>
  <c r="F559"/>
  <c r="F113"/>
  <c r="F645"/>
  <c r="F45"/>
  <c r="F44" s="1"/>
  <c r="F43" s="1"/>
  <c r="F131"/>
  <c r="F614"/>
  <c r="F613" s="1"/>
  <c r="F608" s="1"/>
  <c r="F607" s="1"/>
  <c r="F606" s="1"/>
  <c r="F402"/>
  <c r="F510"/>
  <c r="F107"/>
  <c r="F106" s="1"/>
  <c r="F105" s="1"/>
  <c r="F719" s="1"/>
  <c r="F18"/>
  <c r="F17" s="1"/>
  <c r="F76"/>
  <c r="F75" s="1"/>
  <c r="F25"/>
  <c r="F149"/>
  <c r="F340"/>
  <c r="F439"/>
  <c r="F438" s="1"/>
  <c r="F437" s="1"/>
  <c r="F628"/>
  <c r="F682"/>
  <c r="F488"/>
  <c r="F154"/>
  <c r="F169"/>
  <c r="F694" s="1"/>
  <c r="F271"/>
  <c r="F270" s="1"/>
  <c r="F346"/>
  <c r="F345" s="1"/>
  <c r="F320"/>
  <c r="F319" s="1"/>
  <c r="F318" s="1"/>
  <c r="F423"/>
  <c r="F473"/>
  <c r="F469" s="1"/>
  <c r="F468" s="1"/>
  <c r="F590"/>
  <c r="F585" s="1"/>
  <c r="F98"/>
  <c r="F97" s="1"/>
  <c r="F715" s="1"/>
  <c r="F161"/>
  <c r="F160" s="1"/>
  <c r="F159" s="1"/>
  <c r="F693" s="1"/>
  <c r="F360"/>
  <c r="F83"/>
  <c r="F635"/>
  <c r="F144"/>
  <c r="F226"/>
  <c r="F139"/>
  <c r="F183"/>
  <c r="F182"/>
  <c r="F181" s="1"/>
  <c r="F546"/>
  <c r="F52"/>
  <c r="F68"/>
  <c r="F189"/>
  <c r="F329"/>
  <c r="J277" i="16"/>
  <c r="J278"/>
  <c r="J316"/>
  <c r="G315"/>
  <c r="G314" s="1"/>
  <c r="H315"/>
  <c r="H314" s="1"/>
  <c r="I315"/>
  <c r="I314" s="1"/>
  <c r="F315"/>
  <c r="F314" s="1"/>
  <c r="I119"/>
  <c r="I171"/>
  <c r="I170" s="1"/>
  <c r="I169" s="1"/>
  <c r="I168" s="1"/>
  <c r="I302"/>
  <c r="G610"/>
  <c r="H610"/>
  <c r="J662"/>
  <c r="E56" i="21"/>
  <c r="E66"/>
  <c r="E54"/>
  <c r="D44" i="13"/>
  <c r="C49" i="14"/>
  <c r="I610" i="16"/>
  <c r="G608"/>
  <c r="H608"/>
  <c r="I608"/>
  <c r="I661"/>
  <c r="H661"/>
  <c r="H660" s="1"/>
  <c r="G661"/>
  <c r="G660" s="1"/>
  <c r="F661"/>
  <c r="F660" s="1"/>
  <c r="I660"/>
  <c r="F678" i="22" l="1"/>
  <c r="F677" s="1"/>
  <c r="F676" s="1"/>
  <c r="F675" s="1"/>
  <c r="F728"/>
  <c r="F16"/>
  <c r="F15" s="1"/>
  <c r="F210"/>
  <c r="F718"/>
  <c r="F198"/>
  <c r="F716"/>
  <c r="F237"/>
  <c r="F711"/>
  <c r="F436"/>
  <c r="F435" s="1"/>
  <c r="F701" s="1"/>
  <c r="F708"/>
  <c r="F328"/>
  <c r="F327" s="1"/>
  <c r="F697" s="1"/>
  <c r="F707"/>
  <c r="F344"/>
  <c r="F343" s="1"/>
  <c r="F419"/>
  <c r="F418" s="1"/>
  <c r="F417" s="1"/>
  <c r="F396" s="1"/>
  <c r="F700" s="1"/>
  <c r="J314" i="16"/>
  <c r="F359" i="22"/>
  <c r="F358" s="1"/>
  <c r="F357" s="1"/>
  <c r="F699" s="1"/>
  <c r="J315" i="16"/>
  <c r="F584" i="22"/>
  <c r="F583" s="1"/>
  <c r="F509"/>
  <c r="F508" s="1"/>
  <c r="F627"/>
  <c r="F626" s="1"/>
  <c r="F625" s="1"/>
  <c r="F467"/>
  <c r="F466" s="1"/>
  <c r="F130"/>
  <c r="F112" s="1"/>
  <c r="F67"/>
  <c r="F710" s="1"/>
  <c r="F295"/>
  <c r="F545"/>
  <c r="F544" s="1"/>
  <c r="F543" s="1"/>
  <c r="J661" i="16"/>
  <c r="J660"/>
  <c r="F724" i="22" l="1"/>
  <c r="F180"/>
  <c r="F695" s="1"/>
  <c r="F269"/>
  <c r="F225" s="1"/>
  <c r="F696" s="1"/>
  <c r="F723"/>
  <c r="F706"/>
  <c r="F507"/>
  <c r="F506" s="1"/>
  <c r="F705"/>
  <c r="F14"/>
  <c r="F66"/>
  <c r="F37" s="1"/>
  <c r="H403" i="16"/>
  <c r="F725" i="22" l="1"/>
  <c r="F36"/>
  <c r="F505"/>
  <c r="F698"/>
  <c r="F692"/>
  <c r="F703" s="1"/>
  <c r="G321" i="16"/>
  <c r="G320" s="1"/>
  <c r="H321"/>
  <c r="H320" s="1"/>
  <c r="I321"/>
  <c r="I320" s="1"/>
  <c r="G64"/>
  <c r="G63" s="1"/>
  <c r="G62" s="1"/>
  <c r="G61" s="1"/>
  <c r="H64"/>
  <c r="H63" s="1"/>
  <c r="H62" s="1"/>
  <c r="H61" s="1"/>
  <c r="I64"/>
  <c r="I63" s="1"/>
  <c r="I62" s="1"/>
  <c r="I61" s="1"/>
  <c r="J422"/>
  <c r="G421"/>
  <c r="G420" s="1"/>
  <c r="H421"/>
  <c r="H420" s="1"/>
  <c r="I421"/>
  <c r="I420" s="1"/>
  <c r="F421"/>
  <c r="F420" s="1"/>
  <c r="F687" i="22" l="1"/>
  <c r="C18" i="3" s="1"/>
  <c r="J420" i="16"/>
  <c r="J421"/>
  <c r="J20"/>
  <c r="J22"/>
  <c r="J24"/>
  <c r="J30"/>
  <c r="J35"/>
  <c r="J42"/>
  <c r="J47"/>
  <c r="J49"/>
  <c r="J55"/>
  <c r="J60"/>
  <c r="J61"/>
  <c r="J62"/>
  <c r="J63"/>
  <c r="J64"/>
  <c r="J65"/>
  <c r="J71"/>
  <c r="J74"/>
  <c r="J78"/>
  <c r="J80"/>
  <c r="J82"/>
  <c r="J86"/>
  <c r="J89"/>
  <c r="J94"/>
  <c r="J99"/>
  <c r="J102"/>
  <c r="J107"/>
  <c r="J113"/>
  <c r="J115"/>
  <c r="J118"/>
  <c r="J119"/>
  <c r="J122"/>
  <c r="J124"/>
  <c r="J127"/>
  <c r="J131"/>
  <c r="J133"/>
  <c r="J136"/>
  <c r="J139"/>
  <c r="J141"/>
  <c r="J144"/>
  <c r="J146"/>
  <c r="J149"/>
  <c r="J151"/>
  <c r="J154"/>
  <c r="J156"/>
  <c r="J163"/>
  <c r="J166"/>
  <c r="J172"/>
  <c r="J177"/>
  <c r="J184"/>
  <c r="J190"/>
  <c r="J201"/>
  <c r="G200" i="25" s="1"/>
  <c r="G199" s="1"/>
  <c r="G198" s="1"/>
  <c r="J204" i="16"/>
  <c r="J207"/>
  <c r="J212"/>
  <c r="J222"/>
  <c r="J226"/>
  <c r="J233"/>
  <c r="J238"/>
  <c r="J244"/>
  <c r="J245"/>
  <c r="J246"/>
  <c r="J247"/>
  <c r="J248"/>
  <c r="J251"/>
  <c r="J254"/>
  <c r="J257"/>
  <c r="J260"/>
  <c r="J263"/>
  <c r="J266"/>
  <c r="J267"/>
  <c r="J268"/>
  <c r="J269"/>
  <c r="J270"/>
  <c r="J276"/>
  <c r="J282"/>
  <c r="J287"/>
  <c r="J290"/>
  <c r="J293"/>
  <c r="J299"/>
  <c r="J302"/>
  <c r="J307"/>
  <c r="J310"/>
  <c r="J313"/>
  <c r="J320"/>
  <c r="J321"/>
  <c r="J322"/>
  <c r="J325"/>
  <c r="J332"/>
  <c r="J336"/>
  <c r="J341"/>
  <c r="J348"/>
  <c r="J351"/>
  <c r="J355"/>
  <c r="J362"/>
  <c r="J366"/>
  <c r="J369"/>
  <c r="J372"/>
  <c r="J375"/>
  <c r="J379"/>
  <c r="J380"/>
  <c r="J386"/>
  <c r="J392"/>
  <c r="J398"/>
  <c r="J403"/>
  <c r="J407"/>
  <c r="J413"/>
  <c r="J416"/>
  <c r="J418"/>
  <c r="J419"/>
  <c r="J425"/>
  <c r="J432"/>
  <c r="J434"/>
  <c r="J438"/>
  <c r="J449"/>
  <c r="J456"/>
  <c r="J463"/>
  <c r="J466"/>
  <c r="J468"/>
  <c r="J470"/>
  <c r="J473"/>
  <c r="J478"/>
  <c r="J484"/>
  <c r="J488"/>
  <c r="J489"/>
  <c r="J490"/>
  <c r="J491"/>
  <c r="J492"/>
  <c r="J493"/>
  <c r="J494"/>
  <c r="J495"/>
  <c r="J504"/>
  <c r="G500" i="25" s="1"/>
  <c r="G499" s="1"/>
  <c r="G498" s="1"/>
  <c r="D16" i="18" s="1"/>
  <c r="J507" i="16"/>
  <c r="J511"/>
  <c r="J514"/>
  <c r="J517"/>
  <c r="J520"/>
  <c r="G516" i="25" s="1"/>
  <c r="G515" s="1"/>
  <c r="G505" s="1"/>
  <c r="J523" i="16"/>
  <c r="J526"/>
  <c r="J529"/>
  <c r="J533"/>
  <c r="J540"/>
  <c r="J543"/>
  <c r="J546"/>
  <c r="J549"/>
  <c r="J553"/>
  <c r="J556"/>
  <c r="J559"/>
  <c r="G555" i="25" s="1"/>
  <c r="G554" s="1"/>
  <c r="G547" s="1"/>
  <c r="J562" i="16"/>
  <c r="J565"/>
  <c r="J569"/>
  <c r="J573"/>
  <c r="J580"/>
  <c r="J584"/>
  <c r="J587"/>
  <c r="J590"/>
  <c r="J593"/>
  <c r="J596"/>
  <c r="J603"/>
  <c r="J607"/>
  <c r="J608"/>
  <c r="J609"/>
  <c r="J610"/>
  <c r="J611"/>
  <c r="J615"/>
  <c r="J621"/>
  <c r="J623"/>
  <c r="J625"/>
  <c r="J628"/>
  <c r="J630"/>
  <c r="J632"/>
  <c r="J635"/>
  <c r="J642"/>
  <c r="J648"/>
  <c r="J649"/>
  <c r="J651"/>
  <c r="J659"/>
  <c r="J672"/>
  <c r="J675"/>
  <c r="J677"/>
  <c r="I126"/>
  <c r="H259"/>
  <c r="I259"/>
  <c r="G606"/>
  <c r="G605" s="1"/>
  <c r="G604" s="1"/>
  <c r="H606"/>
  <c r="H605" s="1"/>
  <c r="H604" s="1"/>
  <c r="I606"/>
  <c r="I605" s="1"/>
  <c r="I604" s="1"/>
  <c r="G592"/>
  <c r="G591" s="1"/>
  <c r="H592"/>
  <c r="H591" s="1"/>
  <c r="I592"/>
  <c r="I591" s="1"/>
  <c r="F592"/>
  <c r="F591" s="1"/>
  <c r="I150"/>
  <c r="I145"/>
  <c r="F691" i="22" l="1"/>
  <c r="F690"/>
  <c r="G533" i="25"/>
  <c r="G532" s="1"/>
  <c r="G531" s="1"/>
  <c r="D21" i="18"/>
  <c r="G197" i="25"/>
  <c r="G196" s="1"/>
  <c r="G178" s="1"/>
  <c r="G36" s="1"/>
  <c r="D61" i="18"/>
  <c r="G497" i="25"/>
  <c r="J606" i="16"/>
  <c r="J259"/>
  <c r="J591"/>
  <c r="J604"/>
  <c r="J605"/>
  <c r="J592"/>
  <c r="G586"/>
  <c r="G585" s="1"/>
  <c r="H586"/>
  <c r="G561"/>
  <c r="G560" s="1"/>
  <c r="H561"/>
  <c r="I561"/>
  <c r="I560" s="1"/>
  <c r="G558"/>
  <c r="G557" s="1"/>
  <c r="H558"/>
  <c r="H557" s="1"/>
  <c r="I558"/>
  <c r="G532"/>
  <c r="G531" s="1"/>
  <c r="G530" s="1"/>
  <c r="H532"/>
  <c r="H531" s="1"/>
  <c r="H530" s="1"/>
  <c r="I532"/>
  <c r="G525"/>
  <c r="H525"/>
  <c r="G522"/>
  <c r="G521" s="1"/>
  <c r="H522"/>
  <c r="G519"/>
  <c r="G518" s="1"/>
  <c r="H519"/>
  <c r="H518" s="1"/>
  <c r="I519"/>
  <c r="G516"/>
  <c r="G515" s="1"/>
  <c r="H516"/>
  <c r="H515" s="1"/>
  <c r="I516"/>
  <c r="I515" s="1"/>
  <c r="F494"/>
  <c r="F492"/>
  <c r="F595"/>
  <c r="F594" s="1"/>
  <c r="F586"/>
  <c r="F585" s="1"/>
  <c r="F532"/>
  <c r="F531" s="1"/>
  <c r="F530" s="1"/>
  <c r="F525"/>
  <c r="F524" s="1"/>
  <c r="F522"/>
  <c r="F521" s="1"/>
  <c r="F519"/>
  <c r="F518" s="1"/>
  <c r="F516"/>
  <c r="F515" s="1"/>
  <c r="G496" i="25" l="1"/>
  <c r="G495" s="1"/>
  <c r="G494" s="1"/>
  <c r="G493" s="1"/>
  <c r="I518" i="16"/>
  <c r="J518" s="1"/>
  <c r="J519"/>
  <c r="J515"/>
  <c r="J516"/>
  <c r="H524"/>
  <c r="J524" s="1"/>
  <c r="J525"/>
  <c r="J594"/>
  <c r="J595"/>
  <c r="I557"/>
  <c r="J557" s="1"/>
  <c r="J558"/>
  <c r="H560"/>
  <c r="J560" s="1"/>
  <c r="J561"/>
  <c r="H521"/>
  <c r="J521" s="1"/>
  <c r="J522"/>
  <c r="I531"/>
  <c r="J532"/>
  <c r="H585"/>
  <c r="J585" s="1"/>
  <c r="J586"/>
  <c r="F491"/>
  <c r="F490" s="1"/>
  <c r="F489" s="1"/>
  <c r="G524"/>
  <c r="G675" i="25" l="1"/>
  <c r="D87" i="18" s="1"/>
  <c r="I530" i="16"/>
  <c r="J530" s="1"/>
  <c r="J531"/>
  <c r="F658"/>
  <c r="F657" s="1"/>
  <c r="F656" s="1"/>
  <c r="F648"/>
  <c r="F650"/>
  <c r="F641"/>
  <c r="F640" s="1"/>
  <c r="F639" s="1"/>
  <c r="F638" s="1"/>
  <c r="F637" s="1"/>
  <c r="F634"/>
  <c r="F633" s="1"/>
  <c r="F631"/>
  <c r="F629"/>
  <c r="F627"/>
  <c r="F624"/>
  <c r="F622"/>
  <c r="F620"/>
  <c r="F610"/>
  <c r="F608"/>
  <c r="F606"/>
  <c r="F614"/>
  <c r="F613" s="1"/>
  <c r="F612" s="1"/>
  <c r="F602"/>
  <c r="F601" s="1"/>
  <c r="F600" s="1"/>
  <c r="F599" s="1"/>
  <c r="F589"/>
  <c r="F588" s="1"/>
  <c r="F647" l="1"/>
  <c r="F646" s="1"/>
  <c r="F645" s="1"/>
  <c r="F644" s="1"/>
  <c r="F643" s="1"/>
  <c r="F655"/>
  <c r="F654" s="1"/>
  <c r="F653" s="1"/>
  <c r="F652" s="1"/>
  <c r="F619"/>
  <c r="F626"/>
  <c r="F605"/>
  <c r="F604" s="1"/>
  <c r="F598" s="1"/>
  <c r="F597" s="1"/>
  <c r="F636"/>
  <c r="F583"/>
  <c r="F582" s="1"/>
  <c r="F581" s="1"/>
  <c r="F579"/>
  <c r="F578" s="1"/>
  <c r="F577" s="1"/>
  <c r="F528"/>
  <c r="F527" s="1"/>
  <c r="F572"/>
  <c r="F571" s="1"/>
  <c r="F570" s="1"/>
  <c r="F569"/>
  <c r="F568" s="1"/>
  <c r="F567" s="1"/>
  <c r="F566" s="1"/>
  <c r="F564"/>
  <c r="F563" s="1"/>
  <c r="F561"/>
  <c r="F560" s="1"/>
  <c r="F558"/>
  <c r="F557" s="1"/>
  <c r="F555"/>
  <c r="F554" s="1"/>
  <c r="F552"/>
  <c r="F551" s="1"/>
  <c r="F548"/>
  <c r="F547" s="1"/>
  <c r="F545"/>
  <c r="F544" s="1"/>
  <c r="F542"/>
  <c r="F541" s="1"/>
  <c r="F539"/>
  <c r="F538" s="1"/>
  <c r="F513"/>
  <c r="F512" s="1"/>
  <c r="F510"/>
  <c r="F509" s="1"/>
  <c r="F506"/>
  <c r="F505" s="1"/>
  <c r="F503"/>
  <c r="F502" s="1"/>
  <c r="F501" s="1"/>
  <c r="F576" l="1"/>
  <c r="F550"/>
  <c r="F618"/>
  <c r="F617" s="1"/>
  <c r="F616" s="1"/>
  <c r="F508"/>
  <c r="F500" s="1"/>
  <c r="F575"/>
  <c r="F574" s="1"/>
  <c r="F537"/>
  <c r="F536" s="1"/>
  <c r="F535" s="1"/>
  <c r="G672"/>
  <c r="G676"/>
  <c r="H676"/>
  <c r="I676"/>
  <c r="J676" s="1"/>
  <c r="G674"/>
  <c r="H674"/>
  <c r="I674"/>
  <c r="H671"/>
  <c r="H670" s="1"/>
  <c r="I671"/>
  <c r="F676"/>
  <c r="F674"/>
  <c r="F671"/>
  <c r="F670" s="1"/>
  <c r="J674" l="1"/>
  <c r="J671"/>
  <c r="G671"/>
  <c r="F673"/>
  <c r="F669" s="1"/>
  <c r="F668" s="1"/>
  <c r="F667" s="1"/>
  <c r="F666" s="1"/>
  <c r="F534"/>
  <c r="F499" s="1"/>
  <c r="F498" s="1"/>
  <c r="F497" s="1"/>
  <c r="F496" s="1"/>
  <c r="I670"/>
  <c r="J670" s="1"/>
  <c r="I673"/>
  <c r="H673"/>
  <c r="G673"/>
  <c r="I669" l="1"/>
  <c r="J673"/>
  <c r="G670"/>
  <c r="H669"/>
  <c r="F462"/>
  <c r="F461" s="1"/>
  <c r="F465"/>
  <c r="F467"/>
  <c r="F469"/>
  <c r="F472"/>
  <c r="F471" s="1"/>
  <c r="F477"/>
  <c r="F476" s="1"/>
  <c r="F475" s="1"/>
  <c r="F474" s="1"/>
  <c r="F483"/>
  <c r="F482" s="1"/>
  <c r="F481" s="1"/>
  <c r="F480" s="1"/>
  <c r="F487"/>
  <c r="F486" s="1"/>
  <c r="F485" s="1"/>
  <c r="F455"/>
  <c r="F454" s="1"/>
  <c r="F453" s="1"/>
  <c r="F452" s="1"/>
  <c r="F451" s="1"/>
  <c r="F450" s="1"/>
  <c r="F448"/>
  <c r="F447" s="1"/>
  <c r="F446" s="1"/>
  <c r="F445" s="1"/>
  <c r="F437"/>
  <c r="F436" s="1"/>
  <c r="F435" s="1"/>
  <c r="F433"/>
  <c r="F431"/>
  <c r="F424"/>
  <c r="F423" s="1"/>
  <c r="F417"/>
  <c r="F415"/>
  <c r="F412"/>
  <c r="F411" s="1"/>
  <c r="F406"/>
  <c r="F405" s="1"/>
  <c r="F404" s="1"/>
  <c r="F402"/>
  <c r="F401" s="1"/>
  <c r="F400" s="1"/>
  <c r="F399" s="1"/>
  <c r="F397"/>
  <c r="F396" s="1"/>
  <c r="F395" s="1"/>
  <c r="F394" s="1"/>
  <c r="F391"/>
  <c r="F390" s="1"/>
  <c r="F389" s="1"/>
  <c r="F388" s="1"/>
  <c r="F371"/>
  <c r="F370" s="1"/>
  <c r="F378"/>
  <c r="F377" s="1"/>
  <c r="F376" s="1"/>
  <c r="F374"/>
  <c r="F373" s="1"/>
  <c r="F354"/>
  <c r="F353" s="1"/>
  <c r="F365"/>
  <c r="F364" s="1"/>
  <c r="F363" s="1"/>
  <c r="F361"/>
  <c r="F360" s="1"/>
  <c r="F347"/>
  <c r="F346" s="1"/>
  <c r="F345" s="1"/>
  <c r="F340"/>
  <c r="F339" s="1"/>
  <c r="F335"/>
  <c r="F334" s="1"/>
  <c r="F333" s="1"/>
  <c r="F331"/>
  <c r="F330" s="1"/>
  <c r="F329" s="1"/>
  <c r="F324"/>
  <c r="F323" s="1"/>
  <c r="F321"/>
  <c r="F320" s="1"/>
  <c r="F312"/>
  <c r="F311" s="1"/>
  <c r="F309"/>
  <c r="F308" s="1"/>
  <c r="F306"/>
  <c r="F305" s="1"/>
  <c r="F301"/>
  <c r="F300" s="1"/>
  <c r="F298"/>
  <c r="F297" s="1"/>
  <c r="F292"/>
  <c r="F291" s="1"/>
  <c r="F290"/>
  <c r="F289" s="1"/>
  <c r="F288" s="1"/>
  <c r="F286"/>
  <c r="F285" s="1"/>
  <c r="F281"/>
  <c r="F280" s="1"/>
  <c r="F275"/>
  <c r="F274" s="1"/>
  <c r="F270"/>
  <c r="F269" s="1"/>
  <c r="F268" s="1"/>
  <c r="F267" s="1"/>
  <c r="F265"/>
  <c r="F264" s="1"/>
  <c r="F262"/>
  <c r="F261" s="1"/>
  <c r="F253"/>
  <c r="F252" s="1"/>
  <c r="F250"/>
  <c r="F249" s="1"/>
  <c r="F247"/>
  <c r="F245"/>
  <c r="F243"/>
  <c r="F237"/>
  <c r="F236" s="1"/>
  <c r="F235" s="1"/>
  <c r="F234" s="1"/>
  <c r="F232"/>
  <c r="F231" s="1"/>
  <c r="F230" s="1"/>
  <c r="F229" s="1"/>
  <c r="F225"/>
  <c r="F224" s="1"/>
  <c r="F223" s="1"/>
  <c r="F221"/>
  <c r="F220" s="1"/>
  <c r="F219" s="1"/>
  <c r="F211"/>
  <c r="F210" s="1"/>
  <c r="F209" s="1"/>
  <c r="F207"/>
  <c r="F206" s="1"/>
  <c r="F205" s="1"/>
  <c r="F203"/>
  <c r="F202" s="1"/>
  <c r="F201"/>
  <c r="F200" s="1"/>
  <c r="F199" s="1"/>
  <c r="F189"/>
  <c r="F188" s="1"/>
  <c r="F183"/>
  <c r="F182" s="1"/>
  <c r="F176"/>
  <c r="F175" s="1"/>
  <c r="F174" s="1"/>
  <c r="F173" s="1"/>
  <c r="F171"/>
  <c r="F170" s="1"/>
  <c r="F169" s="1"/>
  <c r="F168" s="1"/>
  <c r="G165"/>
  <c r="H165"/>
  <c r="I165"/>
  <c r="F165"/>
  <c r="F164" s="1"/>
  <c r="F162"/>
  <c r="F161" s="1"/>
  <c r="F160" s="1"/>
  <c r="F155"/>
  <c r="F153"/>
  <c r="F150"/>
  <c r="F148"/>
  <c r="F145"/>
  <c r="F143"/>
  <c r="F140"/>
  <c r="F138"/>
  <c r="F135"/>
  <c r="F134" s="1"/>
  <c r="F132"/>
  <c r="F131"/>
  <c r="F130" s="1"/>
  <c r="F129" s="1"/>
  <c r="F304" l="1"/>
  <c r="F167"/>
  <c r="F273"/>
  <c r="I668"/>
  <c r="J669"/>
  <c r="I164"/>
  <c r="J165"/>
  <c r="F430"/>
  <c r="F429" s="1"/>
  <c r="G669"/>
  <c r="G164"/>
  <c r="F242"/>
  <c r="F241" s="1"/>
  <c r="F240" s="1"/>
  <c r="F142"/>
  <c r="F152"/>
  <c r="H668"/>
  <c r="H164"/>
  <c r="F414"/>
  <c r="F410" s="1"/>
  <c r="F137"/>
  <c r="F147"/>
  <c r="F159"/>
  <c r="F158" s="1"/>
  <c r="F157" s="1"/>
  <c r="F344"/>
  <c r="F343" s="1"/>
  <c r="F342" s="1"/>
  <c r="F319"/>
  <c r="F318" s="1"/>
  <c r="F317" s="1"/>
  <c r="F464"/>
  <c r="F460" s="1"/>
  <c r="F459" s="1"/>
  <c r="F479"/>
  <c r="F428"/>
  <c r="F427" s="1"/>
  <c r="F426" s="1"/>
  <c r="F393"/>
  <c r="F359"/>
  <c r="F358" s="1"/>
  <c r="F357" s="1"/>
  <c r="F328"/>
  <c r="F338"/>
  <c r="F337" s="1"/>
  <c r="F303"/>
  <c r="F296"/>
  <c r="F295" s="1"/>
  <c r="F284"/>
  <c r="F283" s="1"/>
  <c r="F272"/>
  <c r="F181"/>
  <c r="F180"/>
  <c r="F179" s="1"/>
  <c r="F218"/>
  <c r="F208" s="1"/>
  <c r="F198"/>
  <c r="F197" s="1"/>
  <c r="F196" s="1"/>
  <c r="F228"/>
  <c r="F187"/>
  <c r="F186"/>
  <c r="F185" s="1"/>
  <c r="F126"/>
  <c r="F125" s="1"/>
  <c r="F123"/>
  <c r="F121"/>
  <c r="F117"/>
  <c r="F116" s="1"/>
  <c r="F115"/>
  <c r="F114" s="1"/>
  <c r="F112"/>
  <c r="F108"/>
  <c r="F106"/>
  <c r="F101"/>
  <c r="F100" s="1"/>
  <c r="F98"/>
  <c r="F97" s="1"/>
  <c r="F93"/>
  <c r="F92" s="1"/>
  <c r="F91" s="1"/>
  <c r="F90" s="1"/>
  <c r="F88"/>
  <c r="F87" s="1"/>
  <c r="F85"/>
  <c r="F84" s="1"/>
  <c r="F81"/>
  <c r="F80"/>
  <c r="F79" s="1"/>
  <c r="F77"/>
  <c r="F73"/>
  <c r="F72" s="1"/>
  <c r="F70"/>
  <c r="F69" s="1"/>
  <c r="F65"/>
  <c r="F64" s="1"/>
  <c r="F63" s="1"/>
  <c r="F62" s="1"/>
  <c r="F61" s="1"/>
  <c r="F59"/>
  <c r="F58" s="1"/>
  <c r="F57" s="1"/>
  <c r="F56" s="1"/>
  <c r="F54"/>
  <c r="F53" s="1"/>
  <c r="F52" s="1"/>
  <c r="F48"/>
  <c r="F46"/>
  <c r="F41"/>
  <c r="F40" s="1"/>
  <c r="F39" s="1"/>
  <c r="F38" s="1"/>
  <c r="G385"/>
  <c r="H385"/>
  <c r="I385"/>
  <c r="F385"/>
  <c r="F384" s="1"/>
  <c r="F383" s="1"/>
  <c r="F382" s="1"/>
  <c r="F381" s="1"/>
  <c r="G366"/>
  <c r="H312"/>
  <c r="I312"/>
  <c r="G312"/>
  <c r="G311" s="1"/>
  <c r="F128" l="1"/>
  <c r="F409"/>
  <c r="F408" s="1"/>
  <c r="I667"/>
  <c r="J668"/>
  <c r="I311"/>
  <c r="J312"/>
  <c r="I384"/>
  <c r="J385"/>
  <c r="J164"/>
  <c r="G668"/>
  <c r="G384"/>
  <c r="F458"/>
  <c r="F457" s="1"/>
  <c r="F105"/>
  <c r="F104" s="1"/>
  <c r="F103" s="1"/>
  <c r="F83"/>
  <c r="F178"/>
  <c r="F387"/>
  <c r="F294"/>
  <c r="F271" s="1"/>
  <c r="H667"/>
  <c r="H311"/>
  <c r="H384"/>
  <c r="F356"/>
  <c r="F327"/>
  <c r="F326" s="1"/>
  <c r="F239"/>
  <c r="F227" s="1"/>
  <c r="F68"/>
  <c r="F76"/>
  <c r="F75" s="1"/>
  <c r="F45"/>
  <c r="F44" s="1"/>
  <c r="F43" s="1"/>
  <c r="F96"/>
  <c r="F95" s="1"/>
  <c r="F120"/>
  <c r="F111"/>
  <c r="F51"/>
  <c r="F50" s="1"/>
  <c r="I666" l="1"/>
  <c r="J667"/>
  <c r="I383"/>
  <c r="J384"/>
  <c r="J311"/>
  <c r="G667"/>
  <c r="G383"/>
  <c r="F110"/>
  <c r="H666"/>
  <c r="H383"/>
  <c r="F67"/>
  <c r="H301"/>
  <c r="I301"/>
  <c r="G301"/>
  <c r="G300" s="1"/>
  <c r="H265"/>
  <c r="I265"/>
  <c r="H262"/>
  <c r="I262"/>
  <c r="G265"/>
  <c r="G264" s="1"/>
  <c r="G262"/>
  <c r="G261" s="1"/>
  <c r="H211"/>
  <c r="I211"/>
  <c r="G211"/>
  <c r="J666" l="1"/>
  <c r="I210"/>
  <c r="I209" s="1"/>
  <c r="J211"/>
  <c r="I261"/>
  <c r="J262"/>
  <c r="I300"/>
  <c r="J301"/>
  <c r="I264"/>
  <c r="J265"/>
  <c r="I382"/>
  <c r="J383"/>
  <c r="G666"/>
  <c r="G210"/>
  <c r="G209" s="1"/>
  <c r="G382"/>
  <c r="F66"/>
  <c r="F37" s="1"/>
  <c r="F36" s="1"/>
  <c r="H210"/>
  <c r="H261"/>
  <c r="H300"/>
  <c r="H264"/>
  <c r="H382"/>
  <c r="H203"/>
  <c r="I203"/>
  <c r="G203"/>
  <c r="G202" s="1"/>
  <c r="H135"/>
  <c r="I135"/>
  <c r="G135"/>
  <c r="G134" s="1"/>
  <c r="H123"/>
  <c r="I123"/>
  <c r="G123"/>
  <c r="H121"/>
  <c r="I121"/>
  <c r="G121"/>
  <c r="G120" s="1"/>
  <c r="H117"/>
  <c r="I117"/>
  <c r="G117"/>
  <c r="G116" s="1"/>
  <c r="F34"/>
  <c r="F33" s="1"/>
  <c r="F32" s="1"/>
  <c r="F31" s="1"/>
  <c r="F29"/>
  <c r="F28" s="1"/>
  <c r="F27" s="1"/>
  <c r="F26" s="1"/>
  <c r="F23"/>
  <c r="F21"/>
  <c r="F19"/>
  <c r="H88"/>
  <c r="I88"/>
  <c r="G88"/>
  <c r="G87" s="1"/>
  <c r="H85"/>
  <c r="H84" s="1"/>
  <c r="I85"/>
  <c r="G85"/>
  <c r="G84" s="1"/>
  <c r="H23"/>
  <c r="I84" l="1"/>
  <c r="J85"/>
  <c r="J123"/>
  <c r="I116"/>
  <c r="J117"/>
  <c r="J261"/>
  <c r="J264"/>
  <c r="I87"/>
  <c r="J84" s="1"/>
  <c r="J88"/>
  <c r="I134"/>
  <c r="J135"/>
  <c r="I120"/>
  <c r="J121"/>
  <c r="I202"/>
  <c r="J203"/>
  <c r="I381"/>
  <c r="J382"/>
  <c r="J300"/>
  <c r="J210"/>
  <c r="H116"/>
  <c r="G381"/>
  <c r="H209"/>
  <c r="J209" s="1"/>
  <c r="H120"/>
  <c r="H87"/>
  <c r="H134"/>
  <c r="H202"/>
  <c r="H381"/>
  <c r="F18"/>
  <c r="F17" s="1"/>
  <c r="F16" s="1"/>
  <c r="F25"/>
  <c r="G83"/>
  <c r="E26" i="21"/>
  <c r="G20"/>
  <c r="G40"/>
  <c r="G41"/>
  <c r="G45"/>
  <c r="G46"/>
  <c r="G49"/>
  <c r="G50"/>
  <c r="G51"/>
  <c r="G62"/>
  <c r="G64"/>
  <c r="J116" i="16" l="1"/>
  <c r="J134"/>
  <c r="J202"/>
  <c r="J381"/>
  <c r="J120"/>
  <c r="J87"/>
  <c r="H83"/>
  <c r="I83"/>
  <c r="F15"/>
  <c r="F14" s="1"/>
  <c r="F678" s="1"/>
  <c r="D53" i="21"/>
  <c r="G53" s="1"/>
  <c r="D67"/>
  <c r="D65"/>
  <c r="G65" s="1"/>
  <c r="D63"/>
  <c r="G63" s="1"/>
  <c r="D61"/>
  <c r="G61" s="1"/>
  <c r="D60"/>
  <c r="G60" s="1"/>
  <c r="D59"/>
  <c r="G59" s="1"/>
  <c r="D58"/>
  <c r="G58" s="1"/>
  <c r="D57"/>
  <c r="G57" s="1"/>
  <c r="D56"/>
  <c r="G56" s="1"/>
  <c r="D54"/>
  <c r="G54" s="1"/>
  <c r="D52"/>
  <c r="G52" s="1"/>
  <c r="D48"/>
  <c r="G48" s="1"/>
  <c r="D44"/>
  <c r="D40"/>
  <c r="D39"/>
  <c r="G39" s="1"/>
  <c r="D38"/>
  <c r="G38" s="1"/>
  <c r="D37"/>
  <c r="G37" s="1"/>
  <c r="D35"/>
  <c r="D33"/>
  <c r="G33" s="1"/>
  <c r="D31"/>
  <c r="G31" s="1"/>
  <c r="D30"/>
  <c r="G30" s="1"/>
  <c r="D29"/>
  <c r="G29" s="1"/>
  <c r="D27"/>
  <c r="G27" s="1"/>
  <c r="D25"/>
  <c r="G25" s="1"/>
  <c r="D24"/>
  <c r="G24" s="1"/>
  <c r="D22"/>
  <c r="G22" s="1"/>
  <c r="D21"/>
  <c r="G21" s="1"/>
  <c r="D19"/>
  <c r="G19" s="1"/>
  <c r="D17"/>
  <c r="G17" s="1"/>
  <c r="D15"/>
  <c r="G15" s="1"/>
  <c r="F15"/>
  <c r="F17"/>
  <c r="F19"/>
  <c r="F20"/>
  <c r="F21"/>
  <c r="F22"/>
  <c r="F24"/>
  <c r="F25"/>
  <c r="F27"/>
  <c r="F29"/>
  <c r="F30"/>
  <c r="F31"/>
  <c r="F33"/>
  <c r="F35"/>
  <c r="F37"/>
  <c r="F38"/>
  <c r="F39"/>
  <c r="F41"/>
  <c r="F45"/>
  <c r="F46"/>
  <c r="F48"/>
  <c r="F49"/>
  <c r="F50"/>
  <c r="F51"/>
  <c r="F52"/>
  <c r="F53"/>
  <c r="F54"/>
  <c r="F56"/>
  <c r="F57"/>
  <c r="F58"/>
  <c r="F59"/>
  <c r="F60"/>
  <c r="F61"/>
  <c r="F62"/>
  <c r="F63"/>
  <c r="F64"/>
  <c r="F65"/>
  <c r="F67"/>
  <c r="E14"/>
  <c r="F14" s="1"/>
  <c r="E16"/>
  <c r="F16" s="1"/>
  <c r="E18"/>
  <c r="E23"/>
  <c r="F26"/>
  <c r="E28"/>
  <c r="E32"/>
  <c r="E34"/>
  <c r="E36"/>
  <c r="F36" s="1"/>
  <c r="F40"/>
  <c r="E44"/>
  <c r="E47"/>
  <c r="E55"/>
  <c r="F66"/>
  <c r="D66" l="1"/>
  <c r="G66" s="1"/>
  <c r="G67"/>
  <c r="D34"/>
  <c r="G34" s="1"/>
  <c r="G35"/>
  <c r="D32"/>
  <c r="G32" s="1"/>
  <c r="D26"/>
  <c r="G26" s="1"/>
  <c r="F55"/>
  <c r="F44"/>
  <c r="G44"/>
  <c r="J83" i="16"/>
  <c r="D16" i="21"/>
  <c r="G16" s="1"/>
  <c r="D14"/>
  <c r="G14" s="1"/>
  <c r="F47"/>
  <c r="F34"/>
  <c r="F32"/>
  <c r="F28"/>
  <c r="F23"/>
  <c r="F18"/>
  <c r="D55"/>
  <c r="G55" s="1"/>
  <c r="D47"/>
  <c r="G47" s="1"/>
  <c r="D36"/>
  <c r="G36" s="1"/>
  <c r="D28"/>
  <c r="G28" s="1"/>
  <c r="D23"/>
  <c r="G23" s="1"/>
  <c r="D18"/>
  <c r="G18" s="1"/>
  <c r="E43"/>
  <c r="E13"/>
  <c r="I708" i="16" s="1"/>
  <c r="I19"/>
  <c r="I21"/>
  <c r="I23"/>
  <c r="J23" s="1"/>
  <c r="I29"/>
  <c r="I34"/>
  <c r="I41"/>
  <c r="I46"/>
  <c r="I48"/>
  <c r="I54"/>
  <c r="I59"/>
  <c r="I70"/>
  <c r="I73"/>
  <c r="I77"/>
  <c r="I79"/>
  <c r="I81"/>
  <c r="I93"/>
  <c r="I98"/>
  <c r="I101"/>
  <c r="I106"/>
  <c r="I108"/>
  <c r="I112"/>
  <c r="I114"/>
  <c r="I125"/>
  <c r="I130"/>
  <c r="I132"/>
  <c r="I138"/>
  <c r="I140"/>
  <c r="I143"/>
  <c r="I148"/>
  <c r="I153"/>
  <c r="I155"/>
  <c r="I162"/>
  <c r="I176"/>
  <c r="I183"/>
  <c r="I189"/>
  <c r="I200"/>
  <c r="I206"/>
  <c r="I221"/>
  <c r="I225"/>
  <c r="I232"/>
  <c r="I237"/>
  <c r="I243"/>
  <c r="I242" s="1"/>
  <c r="I250"/>
  <c r="I253"/>
  <c r="I256"/>
  <c r="I258"/>
  <c r="I275"/>
  <c r="I281"/>
  <c r="I286"/>
  <c r="I289"/>
  <c r="I292"/>
  <c r="I298"/>
  <c r="I306"/>
  <c r="I309"/>
  <c r="I324"/>
  <c r="I331"/>
  <c r="I335"/>
  <c r="I340"/>
  <c r="I347"/>
  <c r="I350"/>
  <c r="I354"/>
  <c r="I361"/>
  <c r="I365"/>
  <c r="I368"/>
  <c r="I371"/>
  <c r="I374"/>
  <c r="I378"/>
  <c r="I391"/>
  <c r="I397"/>
  <c r="I402"/>
  <c r="I401" s="1"/>
  <c r="I406"/>
  <c r="I412"/>
  <c r="I415"/>
  <c r="I417"/>
  <c r="I424"/>
  <c r="I423" s="1"/>
  <c r="I431"/>
  <c r="I433"/>
  <c r="I437"/>
  <c r="I448"/>
  <c r="I455"/>
  <c r="I462"/>
  <c r="I465"/>
  <c r="I467"/>
  <c r="I469"/>
  <c r="I472"/>
  <c r="I477"/>
  <c r="I483"/>
  <c r="I487"/>
  <c r="I503"/>
  <c r="I506"/>
  <c r="I510"/>
  <c r="I513"/>
  <c r="I512" s="1"/>
  <c r="I528"/>
  <c r="I539"/>
  <c r="I538" s="1"/>
  <c r="I542"/>
  <c r="I545"/>
  <c r="I548"/>
  <c r="I552"/>
  <c r="I555"/>
  <c r="I564"/>
  <c r="I568"/>
  <c r="I572"/>
  <c r="I571" s="1"/>
  <c r="I570" s="1"/>
  <c r="I579"/>
  <c r="I583"/>
  <c r="I589"/>
  <c r="I602"/>
  <c r="I614"/>
  <c r="I620"/>
  <c r="I622"/>
  <c r="I624"/>
  <c r="I627"/>
  <c r="I629"/>
  <c r="I631"/>
  <c r="I634"/>
  <c r="I641"/>
  <c r="I650"/>
  <c r="I647" s="1"/>
  <c r="I646" s="1"/>
  <c r="I658"/>
  <c r="I339" l="1"/>
  <c r="I657"/>
  <c r="I656" s="1"/>
  <c r="I619"/>
  <c r="H680"/>
  <c r="I680"/>
  <c r="I377"/>
  <c r="I640"/>
  <c r="I613"/>
  <c r="I578"/>
  <c r="I554"/>
  <c r="I541"/>
  <c r="I509"/>
  <c r="I482"/>
  <c r="I447"/>
  <c r="I633"/>
  <c r="I601"/>
  <c r="I551"/>
  <c r="I505"/>
  <c r="I476"/>
  <c r="I436"/>
  <c r="I435" s="1"/>
  <c r="I588"/>
  <c r="I567"/>
  <c r="I566" s="1"/>
  <c r="I547"/>
  <c r="I527"/>
  <c r="I508" s="1"/>
  <c r="I502"/>
  <c r="I471"/>
  <c r="I461"/>
  <c r="I645"/>
  <c r="I582"/>
  <c r="I563"/>
  <c r="I544"/>
  <c r="I486"/>
  <c r="I454"/>
  <c r="I411"/>
  <c r="I390"/>
  <c r="I367"/>
  <c r="I349"/>
  <c r="I330"/>
  <c r="I297"/>
  <c r="I280"/>
  <c r="I252"/>
  <c r="I231"/>
  <c r="I199"/>
  <c r="I198" s="1"/>
  <c r="I97"/>
  <c r="I53"/>
  <c r="I52" s="1"/>
  <c r="I33"/>
  <c r="I405"/>
  <c r="I364"/>
  <c r="I346"/>
  <c r="I345" s="1"/>
  <c r="I323"/>
  <c r="I319" s="1"/>
  <c r="I318" s="1"/>
  <c r="I317" s="1"/>
  <c r="I291"/>
  <c r="I274"/>
  <c r="I249"/>
  <c r="I224"/>
  <c r="I188"/>
  <c r="I187" s="1"/>
  <c r="I161"/>
  <c r="I92"/>
  <c r="I72"/>
  <c r="I28"/>
  <c r="I373"/>
  <c r="I360"/>
  <c r="I308"/>
  <c r="I288"/>
  <c r="I220"/>
  <c r="I182"/>
  <c r="I181" s="1"/>
  <c r="I69"/>
  <c r="I376"/>
  <c r="I400"/>
  <c r="I396"/>
  <c r="I370"/>
  <c r="I353"/>
  <c r="I334"/>
  <c r="I305"/>
  <c r="I285"/>
  <c r="I255"/>
  <c r="I236"/>
  <c r="I205"/>
  <c r="I175"/>
  <c r="I100"/>
  <c r="I58"/>
  <c r="I40"/>
  <c r="I111"/>
  <c r="I45"/>
  <c r="I338"/>
  <c r="I626"/>
  <c r="I152"/>
  <c r="D43" i="21"/>
  <c r="D42" s="1"/>
  <c r="D13"/>
  <c r="G13" s="1"/>
  <c r="F13"/>
  <c r="E42"/>
  <c r="F43"/>
  <c r="I581" i="16"/>
  <c r="I464"/>
  <c r="I414"/>
  <c r="I147"/>
  <c r="I142"/>
  <c r="I137"/>
  <c r="I129"/>
  <c r="I105"/>
  <c r="I76"/>
  <c r="I68"/>
  <c r="I18"/>
  <c r="I17" s="1"/>
  <c r="I430"/>
  <c r="I51"/>
  <c r="G43" i="21" l="1"/>
  <c r="I709" i="16"/>
  <c r="I618"/>
  <c r="I410"/>
  <c r="I128"/>
  <c r="I110" s="1"/>
  <c r="I304"/>
  <c r="I303" s="1"/>
  <c r="I501"/>
  <c r="I500" s="1"/>
  <c r="I337"/>
  <c r="I359"/>
  <c r="I96"/>
  <c r="I95" s="1"/>
  <c r="I180"/>
  <c r="I537"/>
  <c r="I186"/>
  <c r="I185" s="1"/>
  <c r="I460"/>
  <c r="I459" s="1"/>
  <c r="I550"/>
  <c r="I44"/>
  <c r="I43" s="1"/>
  <c r="I273"/>
  <c r="I75"/>
  <c r="I429"/>
  <c r="I104"/>
  <c r="I103" s="1"/>
  <c r="I197"/>
  <c r="I196" s="1"/>
  <c r="I284"/>
  <c r="I283" s="1"/>
  <c r="I363"/>
  <c r="I453"/>
  <c r="I600"/>
  <c r="I446"/>
  <c r="I612"/>
  <c r="I241"/>
  <c r="I240" s="1"/>
  <c r="I485"/>
  <c r="I644"/>
  <c r="I655"/>
  <c r="I475"/>
  <c r="I481"/>
  <c r="I577"/>
  <c r="I576" s="1"/>
  <c r="I639"/>
  <c r="I179"/>
  <c r="I219"/>
  <c r="I39"/>
  <c r="I38" s="1"/>
  <c r="I352"/>
  <c r="I395"/>
  <c r="I160"/>
  <c r="I223"/>
  <c r="I32"/>
  <c r="I296"/>
  <c r="I389"/>
  <c r="I16"/>
  <c r="I272"/>
  <c r="I50"/>
  <c r="I57"/>
  <c r="I174"/>
  <c r="I235"/>
  <c r="I333"/>
  <c r="I399"/>
  <c r="I27"/>
  <c r="I91"/>
  <c r="I404"/>
  <c r="I230"/>
  <c r="I329"/>
  <c r="I409"/>
  <c r="I428"/>
  <c r="D68" i="21"/>
  <c r="F42"/>
  <c r="G42"/>
  <c r="E68"/>
  <c r="I536" i="16"/>
  <c r="I535" s="1"/>
  <c r="I534" s="1"/>
  <c r="E459" i="23"/>
  <c r="E458" s="1"/>
  <c r="C56" i="21"/>
  <c r="I358" i="16" l="1"/>
  <c r="I357" s="1"/>
  <c r="I356" s="1"/>
  <c r="I681"/>
  <c r="I682" s="1"/>
  <c r="I67"/>
  <c r="I617"/>
  <c r="I654"/>
  <c r="I452"/>
  <c r="I575"/>
  <c r="I638"/>
  <c r="I599"/>
  <c r="I598" s="1"/>
  <c r="I480"/>
  <c r="I474"/>
  <c r="I643"/>
  <c r="I499"/>
  <c r="I445"/>
  <c r="I229"/>
  <c r="I234"/>
  <c r="I56"/>
  <c r="I239"/>
  <c r="I31"/>
  <c r="I159"/>
  <c r="I328"/>
  <c r="I26"/>
  <c r="I388"/>
  <c r="I218"/>
  <c r="I208" s="1"/>
  <c r="I178" s="1"/>
  <c r="I344"/>
  <c r="I173"/>
  <c r="I167" s="1"/>
  <c r="I690" s="1"/>
  <c r="I394"/>
  <c r="I90"/>
  <c r="I295"/>
  <c r="I294" s="1"/>
  <c r="I408"/>
  <c r="F68" i="21"/>
  <c r="G68"/>
  <c r="C55"/>
  <c r="C63"/>
  <c r="I66" i="16" l="1"/>
  <c r="I37" s="1"/>
  <c r="I498"/>
  <c r="I637"/>
  <c r="I427"/>
  <c r="I653"/>
  <c r="I652" s="1"/>
  <c r="I574"/>
  <c r="I451"/>
  <c r="I479"/>
  <c r="I458" s="1"/>
  <c r="I616"/>
  <c r="I393"/>
  <c r="I387" s="1"/>
  <c r="I271"/>
  <c r="I343"/>
  <c r="I25"/>
  <c r="I158"/>
  <c r="I228"/>
  <c r="I327"/>
  <c r="I695"/>
  <c r="I457" l="1"/>
  <c r="I450"/>
  <c r="I698" s="1"/>
  <c r="I636"/>
  <c r="I696" s="1"/>
  <c r="I597"/>
  <c r="I497" s="1"/>
  <c r="I426"/>
  <c r="I697" s="1"/>
  <c r="I227"/>
  <c r="I692" s="1"/>
  <c r="I691"/>
  <c r="I157"/>
  <c r="I689" s="1"/>
  <c r="I326"/>
  <c r="I693" s="1"/>
  <c r="I15"/>
  <c r="I688" s="1"/>
  <c r="I342"/>
  <c r="C54" i="21"/>
  <c r="I694" i="16" l="1"/>
  <c r="I699"/>
  <c r="I496"/>
  <c r="I36"/>
  <c r="I14"/>
  <c r="E462" i="23"/>
  <c r="E461" s="1"/>
  <c r="C28" i="24" s="1"/>
  <c r="E385" i="23"/>
  <c r="E384" s="1"/>
  <c r="E319"/>
  <c r="E318" s="1"/>
  <c r="E177"/>
  <c r="E176" s="1"/>
  <c r="I678" i="16" l="1"/>
  <c r="F715" l="1"/>
  <c r="L678"/>
  <c r="G715"/>
  <c r="I679"/>
  <c r="C45" i="21"/>
  <c r="E147" i="23" l="1"/>
  <c r="E146" s="1"/>
  <c r="G565" i="16" l="1"/>
  <c r="G573"/>
  <c r="F246" i="17" l="1"/>
  <c r="F245" s="1"/>
  <c r="E246"/>
  <c r="E245" s="1"/>
  <c r="E424" i="23"/>
  <c r="E423" s="1"/>
  <c r="H256" i="16"/>
  <c r="J256" s="1"/>
  <c r="G256"/>
  <c r="G255" l="1"/>
  <c r="H255"/>
  <c r="J255" s="1"/>
  <c r="C44" i="21" l="1"/>
  <c r="E123" i="23"/>
  <c r="D78" i="18" l="1"/>
  <c r="D40"/>
  <c r="C40"/>
  <c r="F452" i="17"/>
  <c r="F451" s="1"/>
  <c r="E452"/>
  <c r="E451" s="1"/>
  <c r="F540"/>
  <c r="E540"/>
  <c r="E395"/>
  <c r="E394" s="1"/>
  <c r="E271" i="23"/>
  <c r="E270" s="1"/>
  <c r="E254"/>
  <c r="E537" i="17" l="1"/>
  <c r="E535" s="1"/>
  <c r="E604" s="1"/>
  <c r="F537"/>
  <c r="F535" s="1"/>
  <c r="F604" s="1"/>
  <c r="H658" i="16" l="1"/>
  <c r="J658" s="1"/>
  <c r="G658"/>
  <c r="H437"/>
  <c r="J437" s="1"/>
  <c r="G437"/>
  <c r="H368"/>
  <c r="J368" s="1"/>
  <c r="G368"/>
  <c r="H350"/>
  <c r="J350" s="1"/>
  <c r="G350"/>
  <c r="G657" l="1"/>
  <c r="G656" s="1"/>
  <c r="G349"/>
  <c r="G436"/>
  <c r="G435" s="1"/>
  <c r="G367"/>
  <c r="H657"/>
  <c r="H656" s="1"/>
  <c r="H436"/>
  <c r="H349"/>
  <c r="J349" s="1"/>
  <c r="H367"/>
  <c r="J367" s="1"/>
  <c r="J436" l="1"/>
  <c r="H435"/>
  <c r="J435" s="1"/>
  <c r="J657"/>
  <c r="J656"/>
  <c r="G655" l="1"/>
  <c r="H655"/>
  <c r="J655" s="1"/>
  <c r="D43" i="15"/>
  <c r="G654" i="16" l="1"/>
  <c r="H654"/>
  <c r="J654" s="1"/>
  <c r="G653" l="1"/>
  <c r="G652" s="1"/>
  <c r="H653"/>
  <c r="J653" l="1"/>
  <c r="H652"/>
  <c r="J652"/>
  <c r="F449" i="17"/>
  <c r="F448" s="1"/>
  <c r="E449"/>
  <c r="E448" s="1"/>
  <c r="E447" l="1"/>
  <c r="F447"/>
  <c r="E256" i="23"/>
  <c r="E20"/>
  <c r="E19" s="1"/>
  <c r="E18" s="1"/>
  <c r="E25"/>
  <c r="E24" s="1"/>
  <c r="E28"/>
  <c r="E30"/>
  <c r="E32"/>
  <c r="E35"/>
  <c r="E34" s="1"/>
  <c r="E40"/>
  <c r="E42"/>
  <c r="E48"/>
  <c r="E47" s="1"/>
  <c r="E46" s="1"/>
  <c r="E45" s="1"/>
  <c r="E44" s="1"/>
  <c r="E53"/>
  <c r="E55"/>
  <c r="E57"/>
  <c r="E60"/>
  <c r="E59" s="1"/>
  <c r="E63"/>
  <c r="E62" s="1"/>
  <c r="E68"/>
  <c r="E67" s="1"/>
  <c r="E66" s="1"/>
  <c r="E65" s="1"/>
  <c r="E74"/>
  <c r="E73" s="1"/>
  <c r="E77"/>
  <c r="E76" s="1"/>
  <c r="E81"/>
  <c r="E83"/>
  <c r="E85"/>
  <c r="E89"/>
  <c r="E88" s="1"/>
  <c r="E94"/>
  <c r="E91" s="1"/>
  <c r="E99"/>
  <c r="E98" s="1"/>
  <c r="E97" s="1"/>
  <c r="E104"/>
  <c r="E103" s="1"/>
  <c r="E107"/>
  <c r="E106" s="1"/>
  <c r="E112"/>
  <c r="E114"/>
  <c r="E118"/>
  <c r="E120"/>
  <c r="E122"/>
  <c r="E127"/>
  <c r="E129"/>
  <c r="E132"/>
  <c r="E131" s="1"/>
  <c r="E135"/>
  <c r="E134" s="1"/>
  <c r="E139"/>
  <c r="E138" s="1"/>
  <c r="E142"/>
  <c r="E144"/>
  <c r="E150"/>
  <c r="E152"/>
  <c r="E155"/>
  <c r="E157"/>
  <c r="E160"/>
  <c r="E162"/>
  <c r="E165"/>
  <c r="E167"/>
  <c r="E174"/>
  <c r="E173" s="1"/>
  <c r="E183"/>
  <c r="E182" s="1"/>
  <c r="E181" s="1"/>
  <c r="E180" s="1"/>
  <c r="E188"/>
  <c r="E187" s="1"/>
  <c r="E186" s="1"/>
  <c r="E185" s="1"/>
  <c r="E195"/>
  <c r="E194" s="1"/>
  <c r="E193" s="1"/>
  <c r="E192" s="1"/>
  <c r="E191" s="1"/>
  <c r="E201"/>
  <c r="E200" s="1"/>
  <c r="E199" s="1"/>
  <c r="E198" s="1"/>
  <c r="E197" s="1"/>
  <c r="E212"/>
  <c r="E211" s="1"/>
  <c r="E215"/>
  <c r="E214" s="1"/>
  <c r="E218"/>
  <c r="E217" s="1"/>
  <c r="E223"/>
  <c r="E222" s="1"/>
  <c r="E230"/>
  <c r="E229" s="1"/>
  <c r="E228" s="1"/>
  <c r="E234"/>
  <c r="E233" s="1"/>
  <c r="E232" s="1"/>
  <c r="C67" i="24" s="1"/>
  <c r="E241" i="23"/>
  <c r="E240" s="1"/>
  <c r="E239" s="1"/>
  <c r="E238" s="1"/>
  <c r="E246"/>
  <c r="E245" s="1"/>
  <c r="E244" s="1"/>
  <c r="E243" s="1"/>
  <c r="E252"/>
  <c r="E259"/>
  <c r="E258" s="1"/>
  <c r="E262"/>
  <c r="E261" s="1"/>
  <c r="E265"/>
  <c r="E264" s="1"/>
  <c r="E268"/>
  <c r="E267" s="1"/>
  <c r="E274"/>
  <c r="E273" s="1"/>
  <c r="E281"/>
  <c r="E280" s="1"/>
  <c r="E290"/>
  <c r="E289" s="1"/>
  <c r="E296"/>
  <c r="E295" s="1"/>
  <c r="E301"/>
  <c r="E300" s="1"/>
  <c r="E304"/>
  <c r="E303" s="1"/>
  <c r="E307"/>
  <c r="E306" s="1"/>
  <c r="E316"/>
  <c r="E315" s="1"/>
  <c r="E314" s="1"/>
  <c r="E324"/>
  <c r="E323" s="1"/>
  <c r="E327"/>
  <c r="E326" s="1"/>
  <c r="E330"/>
  <c r="E329" s="1"/>
  <c r="E339"/>
  <c r="E338" s="1"/>
  <c r="E342"/>
  <c r="E341" s="1"/>
  <c r="E349"/>
  <c r="E348" s="1"/>
  <c r="E347" s="1"/>
  <c r="E353"/>
  <c r="E352" s="1"/>
  <c r="E351" s="1"/>
  <c r="C39" i="24" s="1"/>
  <c r="E358" i="23"/>
  <c r="E357" s="1"/>
  <c r="E356" s="1"/>
  <c r="E366"/>
  <c r="E365" s="1"/>
  <c r="E369"/>
  <c r="E368" s="1"/>
  <c r="E373"/>
  <c r="E372" s="1"/>
  <c r="E376"/>
  <c r="E375" s="1"/>
  <c r="E379"/>
  <c r="E378" s="1"/>
  <c r="E382"/>
  <c r="E381" s="1"/>
  <c r="E388"/>
  <c r="E387" s="1"/>
  <c r="E391"/>
  <c r="E390" s="1"/>
  <c r="E394"/>
  <c r="E393" s="1"/>
  <c r="E398"/>
  <c r="E397" s="1"/>
  <c r="E396" s="1"/>
  <c r="C18" i="24" s="1"/>
  <c r="E405" i="23"/>
  <c r="E404" s="1"/>
  <c r="E408"/>
  <c r="E407" s="1"/>
  <c r="E411"/>
  <c r="E410" s="1"/>
  <c r="E414"/>
  <c r="E413" s="1"/>
  <c r="E418"/>
  <c r="E417" s="1"/>
  <c r="E421"/>
  <c r="E420" s="1"/>
  <c r="E427"/>
  <c r="E426" s="1"/>
  <c r="E430"/>
  <c r="E429" s="1"/>
  <c r="E434"/>
  <c r="E433" s="1"/>
  <c r="E432" s="1"/>
  <c r="E438"/>
  <c r="E437" s="1"/>
  <c r="E436" s="1"/>
  <c r="C23" i="24" s="1"/>
  <c r="E445" i="23"/>
  <c r="E449"/>
  <c r="E448" s="1"/>
  <c r="E452"/>
  <c r="E451" s="1"/>
  <c r="E456"/>
  <c r="E455" s="1"/>
  <c r="E454" s="1"/>
  <c r="E467"/>
  <c r="E466" s="1"/>
  <c r="E465" s="1"/>
  <c r="C34" i="24" s="1"/>
  <c r="E471" i="23"/>
  <c r="E470" s="1"/>
  <c r="E469" s="1"/>
  <c r="E478"/>
  <c r="E477" s="1"/>
  <c r="E476" s="1"/>
  <c r="E482"/>
  <c r="E484"/>
  <c r="E486"/>
  <c r="E490"/>
  <c r="E489" s="1"/>
  <c r="E488" s="1"/>
  <c r="C30" i="24" s="1"/>
  <c r="E496" i="23"/>
  <c r="E498"/>
  <c r="E500"/>
  <c r="E503"/>
  <c r="E505"/>
  <c r="E507"/>
  <c r="E510"/>
  <c r="E509" s="1"/>
  <c r="E517"/>
  <c r="E516" s="1"/>
  <c r="E521"/>
  <c r="E520" s="1"/>
  <c r="E519" s="1"/>
  <c r="C36" i="24" s="1"/>
  <c r="E524" i="23"/>
  <c r="E523" s="1"/>
  <c r="E527"/>
  <c r="E526" s="1"/>
  <c r="E531"/>
  <c r="E530" s="1"/>
  <c r="E529" s="1"/>
  <c r="E538"/>
  <c r="E537" s="1"/>
  <c r="E552"/>
  <c r="E551" s="1"/>
  <c r="E550" s="1"/>
  <c r="E549" s="1"/>
  <c r="E558"/>
  <c r="E557" s="1"/>
  <c r="E556" s="1"/>
  <c r="E563"/>
  <c r="E562" s="1"/>
  <c r="E561" s="1"/>
  <c r="E568"/>
  <c r="E567" s="1"/>
  <c r="E566" s="1"/>
  <c r="E572"/>
  <c r="E571" s="1"/>
  <c r="E570" s="1"/>
  <c r="E579"/>
  <c r="E581"/>
  <c r="E586"/>
  <c r="E585" s="1"/>
  <c r="E589"/>
  <c r="E591"/>
  <c r="E598"/>
  <c r="E597" s="1"/>
  <c r="E605"/>
  <c r="E607"/>
  <c r="E611"/>
  <c r="E610" s="1"/>
  <c r="E614"/>
  <c r="E613" s="1"/>
  <c r="E628"/>
  <c r="E627" s="1"/>
  <c r="E626" s="1"/>
  <c r="E635"/>
  <c r="E634" s="1"/>
  <c r="E633" s="1"/>
  <c r="E632" s="1"/>
  <c r="E299" l="1"/>
  <c r="E227"/>
  <c r="E536"/>
  <c r="E535" s="1"/>
  <c r="E534" s="1"/>
  <c r="F599" i="17"/>
  <c r="D36" i="18"/>
  <c r="E599" i="17"/>
  <c r="C36" i="18"/>
  <c r="C38" i="24"/>
  <c r="C37" s="1"/>
  <c r="C66"/>
  <c r="C65" s="1"/>
  <c r="C654" i="23"/>
  <c r="E447"/>
  <c r="E444"/>
  <c r="E443" s="1"/>
  <c r="E631"/>
  <c r="E630" s="1"/>
  <c r="G630" s="1"/>
  <c r="E609"/>
  <c r="E221"/>
  <c r="C649" s="1"/>
  <c r="C56" i="24"/>
  <c r="C55" s="1"/>
  <c r="E515" i="23"/>
  <c r="E514" s="1"/>
  <c r="E17"/>
  <c r="E313"/>
  <c r="C78" i="24"/>
  <c r="C77" s="1"/>
  <c r="E625" i="23"/>
  <c r="C656" s="1"/>
  <c r="C73" i="24"/>
  <c r="C72" s="1"/>
  <c r="E355" i="23"/>
  <c r="C653" s="1"/>
  <c r="C64" i="24"/>
  <c r="C63" s="1"/>
  <c r="E565" i="23"/>
  <c r="C650" s="1"/>
  <c r="C58" i="24"/>
  <c r="C57" s="1"/>
  <c r="E96" i="23"/>
  <c r="C648" s="1"/>
  <c r="C54" i="24"/>
  <c r="C53" s="1"/>
  <c r="E560" i="23"/>
  <c r="C645" s="1"/>
  <c r="C44" i="24"/>
  <c r="C43" s="1"/>
  <c r="E555" i="23"/>
  <c r="C31" i="24"/>
  <c r="E416" i="23"/>
  <c r="C21" i="24" s="1"/>
  <c r="E322" i="23"/>
  <c r="E251"/>
  <c r="E288"/>
  <c r="E159"/>
  <c r="E154"/>
  <c r="E117"/>
  <c r="E102"/>
  <c r="E371"/>
  <c r="C16" i="24" s="1"/>
  <c r="E164" i="23"/>
  <c r="E27"/>
  <c r="E23" s="1"/>
  <c r="E22" s="1"/>
  <c r="E495"/>
  <c r="E52"/>
  <c r="E51" s="1"/>
  <c r="E50" s="1"/>
  <c r="E346"/>
  <c r="C643" s="1"/>
  <c r="E226"/>
  <c r="E126"/>
  <c r="E72"/>
  <c r="C46" i="24" s="1"/>
  <c r="E210" i="23"/>
  <c r="E604"/>
  <c r="E603" s="1"/>
  <c r="C41" i="24" s="1"/>
  <c r="E502" i="23"/>
  <c r="E364"/>
  <c r="C15" i="24" s="1"/>
  <c r="E237" i="23"/>
  <c r="E87"/>
  <c r="C48" i="24" s="1"/>
  <c r="E172" i="23"/>
  <c r="E171" s="1"/>
  <c r="E170" s="1"/>
  <c r="E169" s="1"/>
  <c r="G169" s="1"/>
  <c r="E403"/>
  <c r="C20" i="24" s="1"/>
  <c r="E80" i="23"/>
  <c r="E79" s="1"/>
  <c r="C47" i="24" s="1"/>
  <c r="E464" i="23"/>
  <c r="E179"/>
  <c r="G179" s="1"/>
  <c r="E588"/>
  <c r="E111"/>
  <c r="E110" s="1"/>
  <c r="C69" i="24" s="1"/>
  <c r="E39" i="23"/>
  <c r="E38" s="1"/>
  <c r="E37" s="1"/>
  <c r="E481"/>
  <c r="E480" s="1"/>
  <c r="E475" s="1"/>
  <c r="E474" s="1"/>
  <c r="E473" s="1"/>
  <c r="E337"/>
  <c r="E336" s="1"/>
  <c r="E335" s="1"/>
  <c r="E141"/>
  <c r="E578"/>
  <c r="E577" s="1"/>
  <c r="E149"/>
  <c r="E584" l="1"/>
  <c r="E583" s="1"/>
  <c r="C35" i="24"/>
  <c r="C642" i="23"/>
  <c r="E220"/>
  <c r="E442"/>
  <c r="E441" s="1"/>
  <c r="E440" s="1"/>
  <c r="C25" i="24"/>
  <c r="E554" i="23"/>
  <c r="C42" i="24"/>
  <c r="C40" s="1"/>
  <c r="E513" i="23"/>
  <c r="E512" s="1"/>
  <c r="G512" s="1"/>
  <c r="E345"/>
  <c r="E344" s="1"/>
  <c r="G344" s="1"/>
  <c r="E321"/>
  <c r="E312" s="1"/>
  <c r="C658" s="1"/>
  <c r="C80" i="24"/>
  <c r="C79" s="1"/>
  <c r="C76" s="1"/>
  <c r="E298" i="23"/>
  <c r="C657" s="1"/>
  <c r="C75" i="24"/>
  <c r="C74" s="1"/>
  <c r="E109" i="23"/>
  <c r="C655" s="1"/>
  <c r="C68" i="24"/>
  <c r="E209" i="23"/>
  <c r="C62" i="24"/>
  <c r="C61" s="1"/>
  <c r="E101" i="23"/>
  <c r="C651" s="1"/>
  <c r="C60" i="24"/>
  <c r="C59" s="1"/>
  <c r="E287" i="23"/>
  <c r="C51" i="24"/>
  <c r="C45"/>
  <c r="C33"/>
  <c r="C26"/>
  <c r="C22"/>
  <c r="C19" s="1"/>
  <c r="E576" i="23"/>
  <c r="E575" s="1"/>
  <c r="C17" i="24"/>
  <c r="C14" s="1"/>
  <c r="E602" i="23"/>
  <c r="E250"/>
  <c r="E249" s="1"/>
  <c r="E363"/>
  <c r="E362" s="1"/>
  <c r="E494"/>
  <c r="E71"/>
  <c r="C646" s="1"/>
  <c r="E137"/>
  <c r="E116" s="1"/>
  <c r="E402"/>
  <c r="E401" s="1"/>
  <c r="E400" s="1"/>
  <c r="E574" l="1"/>
  <c r="E548" s="1"/>
  <c r="G548" s="1"/>
  <c r="C84" i="24"/>
  <c r="C32"/>
  <c r="C24"/>
  <c r="E208" i="23"/>
  <c r="E190" s="1"/>
  <c r="G190" s="1"/>
  <c r="C652"/>
  <c r="E601"/>
  <c r="E600" s="1"/>
  <c r="G600" s="1"/>
  <c r="C644"/>
  <c r="E361"/>
  <c r="E286"/>
  <c r="C50" i="24"/>
  <c r="C49" s="1"/>
  <c r="E493" i="23"/>
  <c r="E492" s="1"/>
  <c r="C29" i="24"/>
  <c r="E70" i="23"/>
  <c r="E16" s="1"/>
  <c r="G16" s="1"/>
  <c r="C13" i="24" l="1"/>
  <c r="C81" s="1"/>
  <c r="E248" i="23"/>
  <c r="E236" s="1"/>
  <c r="G236" s="1"/>
  <c r="C647"/>
  <c r="E360"/>
  <c r="G360" s="1"/>
  <c r="C641"/>
  <c r="H365" i="16"/>
  <c r="J365" s="1"/>
  <c r="G365"/>
  <c r="G364" s="1"/>
  <c r="G363" s="1"/>
  <c r="G403"/>
  <c r="G201"/>
  <c r="C660" i="23" l="1"/>
  <c r="C85" i="24"/>
  <c r="B89" s="1"/>
  <c r="E637" i="23"/>
  <c r="H364" i="16"/>
  <c r="J364" s="1"/>
  <c r="C659" i="23" l="1"/>
  <c r="H363" i="16"/>
  <c r="J363" s="1"/>
  <c r="C51" i="21" l="1"/>
  <c r="C47"/>
  <c r="C18"/>
  <c r="C14"/>
  <c r="C16"/>
  <c r="C23"/>
  <c r="C26"/>
  <c r="C28"/>
  <c r="C32"/>
  <c r="C34"/>
  <c r="C36"/>
  <c r="C40"/>
  <c r="C57"/>
  <c r="C66"/>
  <c r="N39" i="16" l="1"/>
  <c r="C13" i="21"/>
  <c r="C43" l="1"/>
  <c r="C42" s="1"/>
  <c r="C68" s="1"/>
  <c r="F365" i="17" l="1"/>
  <c r="F364" s="1"/>
  <c r="F363" s="1"/>
  <c r="F588" s="1"/>
  <c r="E365"/>
  <c r="E364" s="1"/>
  <c r="E363" s="1"/>
  <c r="E588" s="1"/>
  <c r="E355"/>
  <c r="H568" i="16"/>
  <c r="J568" s="1"/>
  <c r="G568"/>
  <c r="G567" l="1"/>
  <c r="G566" s="1"/>
  <c r="H567"/>
  <c r="J567" l="1"/>
  <c r="H566"/>
  <c r="J566"/>
  <c r="F517" i="17"/>
  <c r="E517"/>
  <c r="F515"/>
  <c r="E515"/>
  <c r="F455"/>
  <c r="F454" s="1"/>
  <c r="E455"/>
  <c r="E454" s="1"/>
  <c r="F399"/>
  <c r="F398" s="1"/>
  <c r="F397" s="1"/>
  <c r="E399"/>
  <c r="E398" s="1"/>
  <c r="E397" s="1"/>
  <c r="F369"/>
  <c r="F368" s="1"/>
  <c r="F367" s="1"/>
  <c r="D23" i="18" s="1"/>
  <c r="E369" i="17"/>
  <c r="E368" s="1"/>
  <c r="E367" s="1"/>
  <c r="C23" i="18" s="1"/>
  <c r="F339" i="17"/>
  <c r="F338" s="1"/>
  <c r="E339"/>
  <c r="E338" s="1"/>
  <c r="F280"/>
  <c r="F279" s="1"/>
  <c r="E280"/>
  <c r="E279" s="1"/>
  <c r="F159"/>
  <c r="F158" s="1"/>
  <c r="E159"/>
  <c r="E158" s="1"/>
  <c r="F152"/>
  <c r="E152"/>
  <c r="H354" i="16"/>
  <c r="J354" s="1"/>
  <c r="G354"/>
  <c r="H417"/>
  <c r="J417" s="1"/>
  <c r="G417"/>
  <c r="H572"/>
  <c r="J572" s="1"/>
  <c r="G572"/>
  <c r="H539"/>
  <c r="J539" s="1"/>
  <c r="G539"/>
  <c r="H415"/>
  <c r="J415" s="1"/>
  <c r="G415"/>
  <c r="H371"/>
  <c r="J371" s="1"/>
  <c r="G371"/>
  <c r="H306"/>
  <c r="J306" s="1"/>
  <c r="G306"/>
  <c r="H162"/>
  <c r="J162" s="1"/>
  <c r="G162"/>
  <c r="H155"/>
  <c r="J155" s="1"/>
  <c r="G155"/>
  <c r="D60" i="15"/>
  <c r="C60"/>
  <c r="C42" s="1"/>
  <c r="E600" i="17" l="1"/>
  <c r="C35" i="18"/>
  <c r="F600" i="17"/>
  <c r="D35" i="18"/>
  <c r="E157" i="17"/>
  <c r="E156" s="1"/>
  <c r="E155" s="1"/>
  <c r="E154" s="1"/>
  <c r="F157"/>
  <c r="F156" s="1"/>
  <c r="F155" s="1"/>
  <c r="F154" s="1"/>
  <c r="E514"/>
  <c r="G305" i="16"/>
  <c r="G571"/>
  <c r="G353"/>
  <c r="G161"/>
  <c r="G370"/>
  <c r="G538"/>
  <c r="H571"/>
  <c r="J571" s="1"/>
  <c r="H353"/>
  <c r="J353" s="1"/>
  <c r="H305"/>
  <c r="H161"/>
  <c r="J161" s="1"/>
  <c r="H370"/>
  <c r="J370" s="1"/>
  <c r="H538"/>
  <c r="J538" s="1"/>
  <c r="E589" i="17"/>
  <c r="F589"/>
  <c r="F514"/>
  <c r="C41" i="15"/>
  <c r="D42"/>
  <c r="J305" i="16" l="1"/>
  <c r="G160"/>
  <c r="G570"/>
  <c r="G352"/>
  <c r="H570"/>
  <c r="J570" s="1"/>
  <c r="H160"/>
  <c r="J160" s="1"/>
  <c r="H352"/>
  <c r="J352" s="1"/>
  <c r="D76" i="18"/>
  <c r="D75" s="1"/>
  <c r="C78"/>
  <c r="C76"/>
  <c r="F283" i="17"/>
  <c r="F282" s="1"/>
  <c r="E283"/>
  <c r="E282" s="1"/>
  <c r="F275"/>
  <c r="F274" s="1"/>
  <c r="F273" s="1"/>
  <c r="E275"/>
  <c r="E274" s="1"/>
  <c r="E273" s="1"/>
  <c r="E272" s="1"/>
  <c r="H309" i="16"/>
  <c r="J309" s="1"/>
  <c r="G309"/>
  <c r="H298"/>
  <c r="J298" s="1"/>
  <c r="G298"/>
  <c r="G308" l="1"/>
  <c r="G304" s="1"/>
  <c r="G159"/>
  <c r="G158" s="1"/>
  <c r="G157" s="1"/>
  <c r="G297"/>
  <c r="H308"/>
  <c r="H297"/>
  <c r="J297" s="1"/>
  <c r="H159"/>
  <c r="J159" s="1"/>
  <c r="C75" i="18"/>
  <c r="E278" i="17"/>
  <c r="E277" s="1"/>
  <c r="E271" s="1"/>
  <c r="F278"/>
  <c r="F277" s="1"/>
  <c r="F272"/>
  <c r="F625"/>
  <c r="E625"/>
  <c r="D73" i="18"/>
  <c r="C73"/>
  <c r="D49"/>
  <c r="C49"/>
  <c r="J308" i="16" l="1"/>
  <c r="H304"/>
  <c r="J304" s="1"/>
  <c r="G296"/>
  <c r="G689"/>
  <c r="H158"/>
  <c r="J158" s="1"/>
  <c r="H296"/>
  <c r="J296" s="1"/>
  <c r="F271" i="17"/>
  <c r="G303" i="16" l="1"/>
  <c r="G295"/>
  <c r="H303"/>
  <c r="J303" s="1"/>
  <c r="J295"/>
  <c r="H157"/>
  <c r="J157" s="1"/>
  <c r="F348" i="17"/>
  <c r="F347" s="1"/>
  <c r="E348"/>
  <c r="E347" s="1"/>
  <c r="F269"/>
  <c r="F268" s="1"/>
  <c r="E269"/>
  <c r="E268" s="1"/>
  <c r="F266"/>
  <c r="F265" s="1"/>
  <c r="F263"/>
  <c r="F262" s="1"/>
  <c r="E266"/>
  <c r="E265" s="1"/>
  <c r="E263"/>
  <c r="E262" s="1"/>
  <c r="F227"/>
  <c r="F226" s="1"/>
  <c r="F225" s="1"/>
  <c r="F224" s="1"/>
  <c r="E227"/>
  <c r="E226" s="1"/>
  <c r="E225" s="1"/>
  <c r="E224" s="1"/>
  <c r="F173"/>
  <c r="F172" s="1"/>
  <c r="F171" s="1"/>
  <c r="F170" s="1"/>
  <c r="E173"/>
  <c r="E172" s="1"/>
  <c r="E171" s="1"/>
  <c r="E170" s="1"/>
  <c r="G294" i="16" l="1"/>
  <c r="H689"/>
  <c r="F577" i="17"/>
  <c r="G75" i="18" s="1"/>
  <c r="F626" i="17"/>
  <c r="E577"/>
  <c r="F75" i="18" s="1"/>
  <c r="E626" i="17"/>
  <c r="F261"/>
  <c r="E261"/>
  <c r="E624" s="1"/>
  <c r="H703" i="16"/>
  <c r="E260" i="17" l="1"/>
  <c r="E576" s="1"/>
  <c r="F73" i="18" s="1"/>
  <c r="F74" s="1"/>
  <c r="F260" i="17"/>
  <c r="F576" s="1"/>
  <c r="G73" i="18" s="1"/>
  <c r="G74" s="1"/>
  <c r="F624" i="17"/>
  <c r="G292" i="16" l="1"/>
  <c r="H292"/>
  <c r="J292" s="1"/>
  <c r="H624"/>
  <c r="J624" s="1"/>
  <c r="H548"/>
  <c r="J548" s="1"/>
  <c r="G548"/>
  <c r="H286"/>
  <c r="J286" s="1"/>
  <c r="H289"/>
  <c r="J289" s="1"/>
  <c r="H294"/>
  <c r="J294" s="1"/>
  <c r="G289"/>
  <c r="G286"/>
  <c r="H237"/>
  <c r="J237" s="1"/>
  <c r="G237"/>
  <c r="H176"/>
  <c r="J176" s="1"/>
  <c r="G176"/>
  <c r="G236" l="1"/>
  <c r="G175"/>
  <c r="G285"/>
  <c r="G288"/>
  <c r="G547"/>
  <c r="G291"/>
  <c r="H547"/>
  <c r="J547" s="1"/>
  <c r="H288"/>
  <c r="J288" s="1"/>
  <c r="H236"/>
  <c r="J236" s="1"/>
  <c r="H291"/>
  <c r="J291" s="1"/>
  <c r="H285"/>
  <c r="J285" s="1"/>
  <c r="H175"/>
  <c r="J175" s="1"/>
  <c r="G284" l="1"/>
  <c r="G283" s="1"/>
  <c r="G174"/>
  <c r="G235"/>
  <c r="H284"/>
  <c r="H235"/>
  <c r="H174"/>
  <c r="J174" s="1"/>
  <c r="D39" i="15"/>
  <c r="C39"/>
  <c r="D35"/>
  <c r="C35"/>
  <c r="D33"/>
  <c r="C33"/>
  <c r="D31"/>
  <c r="C31"/>
  <c r="D27"/>
  <c r="C27"/>
  <c r="D25"/>
  <c r="C25"/>
  <c r="D22"/>
  <c r="C22"/>
  <c r="D18"/>
  <c r="C18"/>
  <c r="D16"/>
  <c r="C16"/>
  <c r="D14"/>
  <c r="C14"/>
  <c r="J235" i="16" l="1"/>
  <c r="H283"/>
  <c r="J283" s="1"/>
  <c r="J284"/>
  <c r="G234"/>
  <c r="G173"/>
  <c r="H234"/>
  <c r="J234" s="1"/>
  <c r="H173"/>
  <c r="J173" s="1"/>
  <c r="C13" i="15"/>
  <c r="D13"/>
  <c r="G676" i="25" s="1"/>
  <c r="G680" i="16" l="1"/>
  <c r="F676" i="25"/>
  <c r="F678" s="1"/>
  <c r="G678"/>
  <c r="G683" s="1"/>
  <c r="L673" s="1"/>
  <c r="K675" s="1"/>
  <c r="G679"/>
  <c r="D16" i="12" s="1"/>
  <c r="D71" i="18"/>
  <c r="C71"/>
  <c r="F679" i="25" l="1"/>
  <c r="C16" i="12" s="1"/>
  <c r="F545" i="17"/>
  <c r="F544" s="1"/>
  <c r="F543" s="1"/>
  <c r="F542" s="1"/>
  <c r="F575" s="1"/>
  <c r="G71" i="18" s="1"/>
  <c r="G72" s="1"/>
  <c r="E545" i="17"/>
  <c r="E544" s="1"/>
  <c r="E543" s="1"/>
  <c r="E542" s="1"/>
  <c r="E575" s="1"/>
  <c r="F71" i="18" s="1"/>
  <c r="F72" s="1"/>
  <c r="F255" i="17"/>
  <c r="F254" s="1"/>
  <c r="E255"/>
  <c r="E254" s="1"/>
  <c r="F249"/>
  <c r="F248" s="1"/>
  <c r="E249"/>
  <c r="E248" s="1"/>
  <c r="H448" i="16"/>
  <c r="J448" s="1"/>
  <c r="G448"/>
  <c r="H275"/>
  <c r="J275" s="1"/>
  <c r="G275"/>
  <c r="G259"/>
  <c r="F683" i="25" l="1"/>
  <c r="K673" s="1"/>
  <c r="K674" s="1"/>
  <c r="G258" i="16"/>
  <c r="G447"/>
  <c r="G274"/>
  <c r="H258"/>
  <c r="J258" s="1"/>
  <c r="H447"/>
  <c r="J447" s="1"/>
  <c r="H274"/>
  <c r="F623" i="17"/>
  <c r="E623"/>
  <c r="J274" i="16" l="1"/>
  <c r="G446"/>
  <c r="H446"/>
  <c r="J446" s="1"/>
  <c r="D67" i="18"/>
  <c r="C67"/>
  <c r="D64"/>
  <c r="C64"/>
  <c r="D62"/>
  <c r="C62"/>
  <c r="D60"/>
  <c r="C60"/>
  <c r="D58"/>
  <c r="C58"/>
  <c r="D56"/>
  <c r="C56"/>
  <c r="D52"/>
  <c r="C52"/>
  <c r="D43"/>
  <c r="C43"/>
  <c r="D37"/>
  <c r="C37"/>
  <c r="F552" i="17"/>
  <c r="F551" s="1"/>
  <c r="F550" s="1"/>
  <c r="F549" s="1"/>
  <c r="F548" s="1"/>
  <c r="F547" s="1"/>
  <c r="E552"/>
  <c r="E551" s="1"/>
  <c r="E550" s="1"/>
  <c r="E549" s="1"/>
  <c r="E548" s="1"/>
  <c r="E547" s="1"/>
  <c r="F533"/>
  <c r="E533"/>
  <c r="F531"/>
  <c r="E531"/>
  <c r="F512"/>
  <c r="F511" s="1"/>
  <c r="E512"/>
  <c r="E511" s="1"/>
  <c r="F521"/>
  <c r="F520" s="1"/>
  <c r="E521"/>
  <c r="E520" s="1"/>
  <c r="F507"/>
  <c r="F506" s="1"/>
  <c r="E507"/>
  <c r="E506" s="1"/>
  <c r="F500"/>
  <c r="F499" s="1"/>
  <c r="F498" s="1"/>
  <c r="E500"/>
  <c r="E499" s="1"/>
  <c r="E498" s="1"/>
  <c r="F496"/>
  <c r="F495" s="1"/>
  <c r="F494" s="1"/>
  <c r="F614" s="1"/>
  <c r="E496"/>
  <c r="E495" s="1"/>
  <c r="E494" s="1"/>
  <c r="E614" s="1"/>
  <c r="F491"/>
  <c r="F490" s="1"/>
  <c r="E491"/>
  <c r="E490" s="1"/>
  <c r="F486"/>
  <c r="F485" s="1"/>
  <c r="F484" s="1"/>
  <c r="E486"/>
  <c r="E485" s="1"/>
  <c r="E484" s="1"/>
  <c r="F480"/>
  <c r="F479" s="1"/>
  <c r="F478" s="1"/>
  <c r="F477" s="1"/>
  <c r="E480"/>
  <c r="E479" s="1"/>
  <c r="E478" s="1"/>
  <c r="E477" s="1"/>
  <c r="F462"/>
  <c r="F461" s="1"/>
  <c r="F460" s="1"/>
  <c r="D34" i="18" s="1"/>
  <c r="E462" i="17"/>
  <c r="E461" s="1"/>
  <c r="E460" s="1"/>
  <c r="F445"/>
  <c r="F444" s="1"/>
  <c r="E445"/>
  <c r="E444" s="1"/>
  <c r="F458"/>
  <c r="F457" s="1"/>
  <c r="E458"/>
  <c r="E457" s="1"/>
  <c r="F438"/>
  <c r="F437" s="1"/>
  <c r="E438"/>
  <c r="E437" s="1"/>
  <c r="F435"/>
  <c r="E435"/>
  <c r="F433"/>
  <c r="E433"/>
  <c r="F431"/>
  <c r="E431"/>
  <c r="F428"/>
  <c r="E428"/>
  <c r="F426"/>
  <c r="E426"/>
  <c r="F424"/>
  <c r="E424"/>
  <c r="F418"/>
  <c r="F417" s="1"/>
  <c r="F416" s="1"/>
  <c r="D29" i="18" s="1"/>
  <c r="E418" i="17"/>
  <c r="E417" s="1"/>
  <c r="E416" s="1"/>
  <c r="C29" i="18" s="1"/>
  <c r="F406" i="17"/>
  <c r="F405" s="1"/>
  <c r="F404" s="1"/>
  <c r="F403" s="1"/>
  <c r="E406"/>
  <c r="E405" s="1"/>
  <c r="E404" s="1"/>
  <c r="E403" s="1"/>
  <c r="F392"/>
  <c r="F391" s="1"/>
  <c r="E392"/>
  <c r="E391" s="1"/>
  <c r="F383"/>
  <c r="F382" s="1"/>
  <c r="E383"/>
  <c r="E382" s="1"/>
  <c r="F380"/>
  <c r="F379" s="1"/>
  <c r="E380"/>
  <c r="E379" s="1"/>
  <c r="F376"/>
  <c r="F375" s="1"/>
  <c r="F374" s="1"/>
  <c r="D25" i="18" s="1"/>
  <c r="E376" i="17"/>
  <c r="E375" s="1"/>
  <c r="E374" s="1"/>
  <c r="C25" i="18" s="1"/>
  <c r="F355" i="17"/>
  <c r="F354" s="1"/>
  <c r="E354"/>
  <c r="F352"/>
  <c r="F351" s="1"/>
  <c r="E352"/>
  <c r="E351" s="1"/>
  <c r="F361"/>
  <c r="F360" s="1"/>
  <c r="E361"/>
  <c r="E360" s="1"/>
  <c r="F345"/>
  <c r="F344" s="1"/>
  <c r="E345"/>
  <c r="E344" s="1"/>
  <c r="F342"/>
  <c r="F341" s="1"/>
  <c r="E342"/>
  <c r="E341" s="1"/>
  <c r="F323"/>
  <c r="F322" s="1"/>
  <c r="E323"/>
  <c r="E322" s="1"/>
  <c r="F320"/>
  <c r="F319" s="1"/>
  <c r="E320"/>
  <c r="E319" s="1"/>
  <c r="F332"/>
  <c r="F331" s="1"/>
  <c r="E332"/>
  <c r="E331" s="1"/>
  <c r="F316"/>
  <c r="F315" s="1"/>
  <c r="E316"/>
  <c r="E315" s="1"/>
  <c r="F313"/>
  <c r="F312" s="1"/>
  <c r="E313"/>
  <c r="E312" s="1"/>
  <c r="F305"/>
  <c r="F304" s="1"/>
  <c r="F303" s="1"/>
  <c r="E305"/>
  <c r="E304" s="1"/>
  <c r="E303" s="1"/>
  <c r="F300"/>
  <c r="F299" s="1"/>
  <c r="F298" s="1"/>
  <c r="F602" s="1"/>
  <c r="E300"/>
  <c r="E299" s="1"/>
  <c r="E298" s="1"/>
  <c r="E602" s="1"/>
  <c r="F296"/>
  <c r="F295" s="1"/>
  <c r="F294" s="1"/>
  <c r="E296"/>
  <c r="E295" s="1"/>
  <c r="E294" s="1"/>
  <c r="F289"/>
  <c r="F288" s="1"/>
  <c r="F287" s="1"/>
  <c r="F286" s="1"/>
  <c r="F285" s="1"/>
  <c r="E289"/>
  <c r="E288" s="1"/>
  <c r="E287" s="1"/>
  <c r="E286" s="1"/>
  <c r="E285" s="1"/>
  <c r="F258"/>
  <c r="F257" s="1"/>
  <c r="F253" s="1"/>
  <c r="E258"/>
  <c r="E257" s="1"/>
  <c r="E253" s="1"/>
  <c r="E252" s="1"/>
  <c r="E251" s="1"/>
  <c r="F243"/>
  <c r="F242" s="1"/>
  <c r="E243"/>
  <c r="E242" s="1"/>
  <c r="F240"/>
  <c r="F239" s="1"/>
  <c r="E240"/>
  <c r="E239" s="1"/>
  <c r="F233"/>
  <c r="F232" s="1"/>
  <c r="E233"/>
  <c r="E232" s="1"/>
  <c r="F222"/>
  <c r="F221" s="1"/>
  <c r="F220" s="1"/>
  <c r="E222"/>
  <c r="E221" s="1"/>
  <c r="E220" s="1"/>
  <c r="F215"/>
  <c r="F214" s="1"/>
  <c r="F213" s="1"/>
  <c r="F620" s="1"/>
  <c r="E215"/>
  <c r="E214" s="1"/>
  <c r="E213" s="1"/>
  <c r="E620" s="1"/>
  <c r="F211"/>
  <c r="F210" s="1"/>
  <c r="F209" s="1"/>
  <c r="E211"/>
  <c r="E210" s="1"/>
  <c r="E209" s="1"/>
  <c r="F200"/>
  <c r="F199" s="1"/>
  <c r="E200"/>
  <c r="E199" s="1"/>
  <c r="F197"/>
  <c r="F196" s="1"/>
  <c r="E197"/>
  <c r="E196" s="1"/>
  <c r="F186"/>
  <c r="F185" s="1"/>
  <c r="F184" s="1"/>
  <c r="F183" s="1"/>
  <c r="F182" s="1"/>
  <c r="E186"/>
  <c r="E185" s="1"/>
  <c r="E184" s="1"/>
  <c r="E183" s="1"/>
  <c r="E182" s="1"/>
  <c r="F180"/>
  <c r="F179" s="1"/>
  <c r="F178" s="1"/>
  <c r="F177" s="1"/>
  <c r="F176" s="1"/>
  <c r="E180"/>
  <c r="E179" s="1"/>
  <c r="E178" s="1"/>
  <c r="E177" s="1"/>
  <c r="E176" s="1"/>
  <c r="F168"/>
  <c r="F167" s="1"/>
  <c r="F166" s="1"/>
  <c r="F165" s="1"/>
  <c r="F164" s="1"/>
  <c r="E168"/>
  <c r="E167" s="1"/>
  <c r="E166" s="1"/>
  <c r="E165" s="1"/>
  <c r="E164" s="1"/>
  <c r="F147"/>
  <c r="E147"/>
  <c r="F145"/>
  <c r="E145"/>
  <c r="F142"/>
  <c r="E142"/>
  <c r="F140"/>
  <c r="E140"/>
  <c r="F137"/>
  <c r="E137"/>
  <c r="F135"/>
  <c r="E135"/>
  <c r="F129"/>
  <c r="E129"/>
  <c r="F127"/>
  <c r="E127"/>
  <c r="F150"/>
  <c r="F149" s="1"/>
  <c r="E150"/>
  <c r="E149" s="1"/>
  <c r="F123"/>
  <c r="F122" s="1"/>
  <c r="E123"/>
  <c r="E122" s="1"/>
  <c r="F120"/>
  <c r="F119" s="1"/>
  <c r="E120"/>
  <c r="E119" s="1"/>
  <c r="F113"/>
  <c r="E113"/>
  <c r="F111"/>
  <c r="E111"/>
  <c r="F107"/>
  <c r="E107"/>
  <c r="F105"/>
  <c r="E105"/>
  <c r="F100"/>
  <c r="F99" s="1"/>
  <c r="E100"/>
  <c r="E99" s="1"/>
  <c r="F97"/>
  <c r="F96" s="1"/>
  <c r="E97"/>
  <c r="E96" s="1"/>
  <c r="F92"/>
  <c r="F91" s="1"/>
  <c r="F90" s="1"/>
  <c r="E92"/>
  <c r="E91" s="1"/>
  <c r="E90" s="1"/>
  <c r="F80"/>
  <c r="E80"/>
  <c r="F78"/>
  <c r="E78"/>
  <c r="F76"/>
  <c r="E76"/>
  <c r="F72"/>
  <c r="F71" s="1"/>
  <c r="E72"/>
  <c r="E71" s="1"/>
  <c r="E69"/>
  <c r="E68" s="1"/>
  <c r="F69"/>
  <c r="F68" s="1"/>
  <c r="F63"/>
  <c r="F62" s="1"/>
  <c r="E63"/>
  <c r="E62" s="1"/>
  <c r="F60"/>
  <c r="F59" s="1"/>
  <c r="E60"/>
  <c r="E59" s="1"/>
  <c r="F57"/>
  <c r="E57"/>
  <c r="F55"/>
  <c r="E55"/>
  <c r="F53"/>
  <c r="E53"/>
  <c r="F48"/>
  <c r="F47" s="1"/>
  <c r="F46" s="1"/>
  <c r="F45" s="1"/>
  <c r="F44" s="1"/>
  <c r="E48"/>
  <c r="E47" s="1"/>
  <c r="E46" s="1"/>
  <c r="E45" s="1"/>
  <c r="E44" s="1"/>
  <c r="F42"/>
  <c r="E42"/>
  <c r="F40"/>
  <c r="E40"/>
  <c r="F35"/>
  <c r="F34" s="1"/>
  <c r="E35"/>
  <c r="E34" s="1"/>
  <c r="F32"/>
  <c r="E32"/>
  <c r="F30"/>
  <c r="E30"/>
  <c r="F28"/>
  <c r="E28"/>
  <c r="F25"/>
  <c r="F24" s="1"/>
  <c r="E25"/>
  <c r="E24" s="1"/>
  <c r="F20"/>
  <c r="F19" s="1"/>
  <c r="F18" s="1"/>
  <c r="E20"/>
  <c r="E19" s="1"/>
  <c r="E18" s="1"/>
  <c r="H16"/>
  <c r="H650" i="16"/>
  <c r="J650" s="1"/>
  <c r="G650"/>
  <c r="H641"/>
  <c r="J641" s="1"/>
  <c r="G641"/>
  <c r="H634"/>
  <c r="J634" s="1"/>
  <c r="G634"/>
  <c r="H631"/>
  <c r="J631" s="1"/>
  <c r="G631"/>
  <c r="H629"/>
  <c r="J629" s="1"/>
  <c r="G629"/>
  <c r="H627"/>
  <c r="J627" s="1"/>
  <c r="G627"/>
  <c r="G624"/>
  <c r="H622"/>
  <c r="J622" s="1"/>
  <c r="G622"/>
  <c r="H620"/>
  <c r="G620"/>
  <c r="H614"/>
  <c r="J614" s="1"/>
  <c r="G614"/>
  <c r="H602"/>
  <c r="J602" s="1"/>
  <c r="G602"/>
  <c r="H589"/>
  <c r="J589" s="1"/>
  <c r="G589"/>
  <c r="H583"/>
  <c r="J583" s="1"/>
  <c r="G583"/>
  <c r="H579"/>
  <c r="J579" s="1"/>
  <c r="G579"/>
  <c r="H555"/>
  <c r="J555" s="1"/>
  <c r="G555"/>
  <c r="H552"/>
  <c r="J552" s="1"/>
  <c r="G552"/>
  <c r="H564"/>
  <c r="J564" s="1"/>
  <c r="G564"/>
  <c r="H545"/>
  <c r="J545" s="1"/>
  <c r="G545"/>
  <c r="H542"/>
  <c r="J542" s="1"/>
  <c r="G542"/>
  <c r="H513"/>
  <c r="G513"/>
  <c r="G512" s="1"/>
  <c r="H510"/>
  <c r="J510" s="1"/>
  <c r="G510"/>
  <c r="H528"/>
  <c r="J528" s="1"/>
  <c r="G528"/>
  <c r="H506"/>
  <c r="J506" s="1"/>
  <c r="G506"/>
  <c r="H503"/>
  <c r="J503" s="1"/>
  <c r="G503"/>
  <c r="H487"/>
  <c r="J487" s="1"/>
  <c r="G487"/>
  <c r="H483"/>
  <c r="J483" s="1"/>
  <c r="G483"/>
  <c r="H477"/>
  <c r="J477" s="1"/>
  <c r="G477"/>
  <c r="H472"/>
  <c r="J472" s="1"/>
  <c r="G472"/>
  <c r="H469"/>
  <c r="J469" s="1"/>
  <c r="G469"/>
  <c r="H467"/>
  <c r="J467" s="1"/>
  <c r="G467"/>
  <c r="H465"/>
  <c r="J465" s="1"/>
  <c r="G465"/>
  <c r="H462"/>
  <c r="J462" s="1"/>
  <c r="G462"/>
  <c r="H455"/>
  <c r="J455" s="1"/>
  <c r="G455"/>
  <c r="H433"/>
  <c r="J433" s="1"/>
  <c r="G433"/>
  <c r="H431"/>
  <c r="J431" s="1"/>
  <c r="G431"/>
  <c r="H414"/>
  <c r="J414" s="1"/>
  <c r="G414"/>
  <c r="H412"/>
  <c r="J412" s="1"/>
  <c r="G412"/>
  <c r="H424"/>
  <c r="G424"/>
  <c r="G423" s="1"/>
  <c r="H406"/>
  <c r="J406" s="1"/>
  <c r="G406"/>
  <c r="H402"/>
  <c r="J402" s="1"/>
  <c r="G402"/>
  <c r="H397"/>
  <c r="J397" s="1"/>
  <c r="G397"/>
  <c r="H391"/>
  <c r="J391" s="1"/>
  <c r="G391"/>
  <c r="H378"/>
  <c r="J378" s="1"/>
  <c r="G378"/>
  <c r="H361"/>
  <c r="J361" s="1"/>
  <c r="G361"/>
  <c r="G360" s="1"/>
  <c r="H374"/>
  <c r="J374" s="1"/>
  <c r="G374"/>
  <c r="G373" s="1"/>
  <c r="H347"/>
  <c r="J347" s="1"/>
  <c r="G347"/>
  <c r="G346" s="1"/>
  <c r="G345" s="1"/>
  <c r="H340"/>
  <c r="J340" s="1"/>
  <c r="G340"/>
  <c r="H335"/>
  <c r="J335" s="1"/>
  <c r="G335"/>
  <c r="H331"/>
  <c r="J331" s="1"/>
  <c r="G331"/>
  <c r="H324"/>
  <c r="J324" s="1"/>
  <c r="G324"/>
  <c r="H281"/>
  <c r="J281" s="1"/>
  <c r="G281"/>
  <c r="G253"/>
  <c r="H253"/>
  <c r="J253" s="1"/>
  <c r="H250"/>
  <c r="J250" s="1"/>
  <c r="G250"/>
  <c r="H243"/>
  <c r="G243"/>
  <c r="G242" s="1"/>
  <c r="H232"/>
  <c r="J232" s="1"/>
  <c r="G232"/>
  <c r="H225"/>
  <c r="J225" s="1"/>
  <c r="G225"/>
  <c r="H221"/>
  <c r="J221" s="1"/>
  <c r="G221"/>
  <c r="H206"/>
  <c r="J206" s="1"/>
  <c r="G206"/>
  <c r="H200"/>
  <c r="J200" s="1"/>
  <c r="G200"/>
  <c r="H189"/>
  <c r="J189" s="1"/>
  <c r="G189"/>
  <c r="H183"/>
  <c r="J183" s="1"/>
  <c r="G183"/>
  <c r="H171"/>
  <c r="J171" s="1"/>
  <c r="G171"/>
  <c r="H150"/>
  <c r="J150" s="1"/>
  <c r="G150"/>
  <c r="H148"/>
  <c r="J148" s="1"/>
  <c r="G148"/>
  <c r="H145"/>
  <c r="J145" s="1"/>
  <c r="G145"/>
  <c r="H143"/>
  <c r="J143" s="1"/>
  <c r="G143"/>
  <c r="H140"/>
  <c r="J140" s="1"/>
  <c r="G140"/>
  <c r="H138"/>
  <c r="J138" s="1"/>
  <c r="G138"/>
  <c r="H132"/>
  <c r="J132" s="1"/>
  <c r="G132"/>
  <c r="H130"/>
  <c r="J130" s="1"/>
  <c r="G130"/>
  <c r="H153"/>
  <c r="J153" s="1"/>
  <c r="G153"/>
  <c r="H126"/>
  <c r="J126" s="1"/>
  <c r="G126"/>
  <c r="H114"/>
  <c r="J114" s="1"/>
  <c r="G114"/>
  <c r="H112"/>
  <c r="J112" s="1"/>
  <c r="G112"/>
  <c r="H108"/>
  <c r="J108" s="1"/>
  <c r="G108"/>
  <c r="H106"/>
  <c r="J106" s="1"/>
  <c r="G106"/>
  <c r="H101"/>
  <c r="J101" s="1"/>
  <c r="G101"/>
  <c r="H98"/>
  <c r="J98" s="1"/>
  <c r="G99"/>
  <c r="H93"/>
  <c r="J93" s="1"/>
  <c r="G93"/>
  <c r="G92" s="1"/>
  <c r="G91" s="1"/>
  <c r="G90" s="1"/>
  <c r="H81"/>
  <c r="J81" s="1"/>
  <c r="G81"/>
  <c r="H79"/>
  <c r="J79" s="1"/>
  <c r="G79"/>
  <c r="H77"/>
  <c r="J77" s="1"/>
  <c r="G77"/>
  <c r="H73"/>
  <c r="J73" s="1"/>
  <c r="G73"/>
  <c r="H70"/>
  <c r="J70" s="1"/>
  <c r="G70"/>
  <c r="H59"/>
  <c r="J59" s="1"/>
  <c r="G59"/>
  <c r="G58" s="1"/>
  <c r="G57" s="1"/>
  <c r="G56" s="1"/>
  <c r="H54"/>
  <c r="J54" s="1"/>
  <c r="G54"/>
  <c r="H48"/>
  <c r="J48" s="1"/>
  <c r="G48"/>
  <c r="H46"/>
  <c r="J46" s="1"/>
  <c r="G46"/>
  <c r="H41"/>
  <c r="J41" s="1"/>
  <c r="G41"/>
  <c r="G40" s="1"/>
  <c r="H34"/>
  <c r="J34" s="1"/>
  <c r="G34"/>
  <c r="H29"/>
  <c r="J29" s="1"/>
  <c r="G29"/>
  <c r="G23"/>
  <c r="H21"/>
  <c r="J21" s="1"/>
  <c r="G21"/>
  <c r="H19"/>
  <c r="J19" s="1"/>
  <c r="G19"/>
  <c r="D41" i="15"/>
  <c r="E598" i="17" l="1"/>
  <c r="C34" i="18"/>
  <c r="E402" i="17"/>
  <c r="E401" s="1"/>
  <c r="E595"/>
  <c r="C30" i="18"/>
  <c r="F598" i="17"/>
  <c r="F595"/>
  <c r="D30" i="18"/>
  <c r="E594" i="17"/>
  <c r="F594"/>
  <c r="E350"/>
  <c r="F350"/>
  <c r="F587" s="1"/>
  <c r="F510"/>
  <c r="F509" s="1"/>
  <c r="E510"/>
  <c r="E509" s="1"/>
  <c r="E318"/>
  <c r="C17" i="18" s="1"/>
  <c r="F318" i="17"/>
  <c r="E231"/>
  <c r="E230" s="1"/>
  <c r="E565" s="1"/>
  <c r="F49" i="18" s="1"/>
  <c r="F50" s="1"/>
  <c r="G39" i="16"/>
  <c r="G38" s="1"/>
  <c r="H242"/>
  <c r="J242" s="1"/>
  <c r="J243"/>
  <c r="H512"/>
  <c r="J512" s="1"/>
  <c r="J513"/>
  <c r="G619"/>
  <c r="H619"/>
  <c r="J619" s="1"/>
  <c r="J620"/>
  <c r="H423"/>
  <c r="J424"/>
  <c r="G152"/>
  <c r="G339"/>
  <c r="G377"/>
  <c r="G376" s="1"/>
  <c r="G601"/>
  <c r="G640"/>
  <c r="G98"/>
  <c r="G97" s="1"/>
  <c r="G401"/>
  <c r="G400" s="1"/>
  <c r="G613"/>
  <c r="G633"/>
  <c r="G647"/>
  <c r="G72"/>
  <c r="G100"/>
  <c r="G182"/>
  <c r="G180" s="1"/>
  <c r="G199"/>
  <c r="G220"/>
  <c r="G231"/>
  <c r="G249"/>
  <c r="G280"/>
  <c r="G273" s="1"/>
  <c r="G330"/>
  <c r="G396"/>
  <c r="G405"/>
  <c r="G411"/>
  <c r="G410" s="1"/>
  <c r="G454"/>
  <c r="G476"/>
  <c r="G486"/>
  <c r="G505"/>
  <c r="G509"/>
  <c r="G541"/>
  <c r="G563"/>
  <c r="G554"/>
  <c r="G582"/>
  <c r="G252"/>
  <c r="G28"/>
  <c r="G33"/>
  <c r="G53"/>
  <c r="G69"/>
  <c r="G125"/>
  <c r="G170"/>
  <c r="G188"/>
  <c r="G205"/>
  <c r="G224"/>
  <c r="G323"/>
  <c r="G319" s="1"/>
  <c r="G318" s="1"/>
  <c r="G317" s="1"/>
  <c r="G334"/>
  <c r="G390"/>
  <c r="G461"/>
  <c r="G471"/>
  <c r="G482"/>
  <c r="G502"/>
  <c r="G527"/>
  <c r="G508" s="1"/>
  <c r="G544"/>
  <c r="G537" s="1"/>
  <c r="G551"/>
  <c r="G578"/>
  <c r="G588"/>
  <c r="G445"/>
  <c r="H152"/>
  <c r="H339"/>
  <c r="J339" s="1"/>
  <c r="H377"/>
  <c r="J377" s="1"/>
  <c r="H563"/>
  <c r="H582"/>
  <c r="J582" s="1"/>
  <c r="H601"/>
  <c r="J601" s="1"/>
  <c r="H640"/>
  <c r="J640" s="1"/>
  <c r="H401"/>
  <c r="J401" s="1"/>
  <c r="H578"/>
  <c r="J578" s="1"/>
  <c r="H588"/>
  <c r="J588" s="1"/>
  <c r="H613"/>
  <c r="J613" s="1"/>
  <c r="H633"/>
  <c r="H647"/>
  <c r="J647" s="1"/>
  <c r="H28"/>
  <c r="J28" s="1"/>
  <c r="H40"/>
  <c r="H58"/>
  <c r="J58" s="1"/>
  <c r="H72"/>
  <c r="J72" s="1"/>
  <c r="H92"/>
  <c r="J92" s="1"/>
  <c r="H100"/>
  <c r="J100" s="1"/>
  <c r="H182"/>
  <c r="H199"/>
  <c r="J199" s="1"/>
  <c r="H220"/>
  <c r="J220" s="1"/>
  <c r="H231"/>
  <c r="J231" s="1"/>
  <c r="H249"/>
  <c r="J249" s="1"/>
  <c r="H280"/>
  <c r="H330"/>
  <c r="J330" s="1"/>
  <c r="H373"/>
  <c r="J373" s="1"/>
  <c r="H396"/>
  <c r="J396" s="1"/>
  <c r="H405"/>
  <c r="J405" s="1"/>
  <c r="H411"/>
  <c r="H454"/>
  <c r="J454" s="1"/>
  <c r="H486"/>
  <c r="J486" s="1"/>
  <c r="H505"/>
  <c r="J505" s="1"/>
  <c r="H509"/>
  <c r="J509" s="1"/>
  <c r="H541"/>
  <c r="J541" s="1"/>
  <c r="H554"/>
  <c r="J554" s="1"/>
  <c r="H252"/>
  <c r="J252" s="1"/>
  <c r="H33"/>
  <c r="J33" s="1"/>
  <c r="H53"/>
  <c r="H69"/>
  <c r="J69" s="1"/>
  <c r="H97"/>
  <c r="J97" s="1"/>
  <c r="H125"/>
  <c r="H170"/>
  <c r="J170" s="1"/>
  <c r="H188"/>
  <c r="J188" s="1"/>
  <c r="H205"/>
  <c r="J205" s="1"/>
  <c r="H224"/>
  <c r="J224" s="1"/>
  <c r="H323"/>
  <c r="H334"/>
  <c r="J334" s="1"/>
  <c r="H346"/>
  <c r="J346" s="1"/>
  <c r="H360"/>
  <c r="J360" s="1"/>
  <c r="H390"/>
  <c r="J390" s="1"/>
  <c r="H461"/>
  <c r="J461" s="1"/>
  <c r="H471"/>
  <c r="J471" s="1"/>
  <c r="H482"/>
  <c r="J482" s="1"/>
  <c r="H502"/>
  <c r="J502" s="1"/>
  <c r="H527"/>
  <c r="H544"/>
  <c r="J544" s="1"/>
  <c r="H551"/>
  <c r="J551" s="1"/>
  <c r="H445"/>
  <c r="J445" s="1"/>
  <c r="H476"/>
  <c r="J476" s="1"/>
  <c r="H137"/>
  <c r="J137" s="1"/>
  <c r="F390" i="17"/>
  <c r="E390"/>
  <c r="E443"/>
  <c r="F443"/>
  <c r="G344" i="16"/>
  <c r="G343" s="1"/>
  <c r="G342" s="1"/>
  <c r="G359"/>
  <c r="F337" i="17"/>
  <c r="D20" i="18" s="1"/>
  <c r="D19" s="1"/>
  <c r="E337" i="17"/>
  <c r="C20" i="18" s="1"/>
  <c r="E378" i="17"/>
  <c r="C26" i="18" s="1"/>
  <c r="C24" s="1"/>
  <c r="E311" i="17"/>
  <c r="F110"/>
  <c r="E104"/>
  <c r="E103" s="1"/>
  <c r="E102" s="1"/>
  <c r="F126"/>
  <c r="F134"/>
  <c r="E52"/>
  <c r="E51" s="1"/>
  <c r="E50" s="1"/>
  <c r="E67"/>
  <c r="F75"/>
  <c r="F74" s="1"/>
  <c r="F607" s="1"/>
  <c r="F104"/>
  <c r="F103" s="1"/>
  <c r="F102" s="1"/>
  <c r="E110"/>
  <c r="E139"/>
  <c r="F139"/>
  <c r="E126"/>
  <c r="F195"/>
  <c r="F616" s="1"/>
  <c r="G105" i="16"/>
  <c r="H338"/>
  <c r="J338" s="1"/>
  <c r="G111"/>
  <c r="H626"/>
  <c r="J626" s="1"/>
  <c r="G626"/>
  <c r="G129"/>
  <c r="G137"/>
  <c r="H105"/>
  <c r="J105" s="1"/>
  <c r="G147"/>
  <c r="G430"/>
  <c r="E134" i="17"/>
  <c r="F505"/>
  <c r="F231"/>
  <c r="E430"/>
  <c r="E530"/>
  <c r="E529" s="1"/>
  <c r="E528" s="1"/>
  <c r="E527" s="1"/>
  <c r="E526" s="1"/>
  <c r="F311"/>
  <c r="F378"/>
  <c r="F423"/>
  <c r="F27"/>
  <c r="F23" s="1"/>
  <c r="F22" s="1"/>
  <c r="F52"/>
  <c r="F51" s="1"/>
  <c r="F50" s="1"/>
  <c r="E195"/>
  <c r="E194" s="1"/>
  <c r="E570" s="1"/>
  <c r="F60" i="18" s="1"/>
  <c r="F61" s="1"/>
  <c r="E27" i="17"/>
  <c r="E23" s="1"/>
  <c r="F39"/>
  <c r="F38" s="1"/>
  <c r="F37" s="1"/>
  <c r="E590"/>
  <c r="F530"/>
  <c r="F529" s="1"/>
  <c r="F528" s="1"/>
  <c r="H464" i="16"/>
  <c r="J464" s="1"/>
  <c r="H147"/>
  <c r="J147" s="1"/>
  <c r="H111"/>
  <c r="J111" s="1"/>
  <c r="G18"/>
  <c r="G45"/>
  <c r="G44" s="1"/>
  <c r="G43" s="1"/>
  <c r="H45"/>
  <c r="J45" s="1"/>
  <c r="G142"/>
  <c r="G338"/>
  <c r="H18"/>
  <c r="J18" s="1"/>
  <c r="F95" i="17"/>
  <c r="F94" s="1"/>
  <c r="F569" s="1"/>
  <c r="G58" i="18" s="1"/>
  <c r="G59" s="1"/>
  <c r="E617" i="17"/>
  <c r="E302"/>
  <c r="F617"/>
  <c r="F302"/>
  <c r="F571" s="1"/>
  <c r="G62" i="18" s="1"/>
  <c r="G63" s="1"/>
  <c r="E95" i="17"/>
  <c r="E94" s="1"/>
  <c r="F590"/>
  <c r="F144"/>
  <c r="F430"/>
  <c r="E39"/>
  <c r="E38" s="1"/>
  <c r="E37" s="1"/>
  <c r="E75"/>
  <c r="E74" s="1"/>
  <c r="E607" s="1"/>
  <c r="E144"/>
  <c r="E423"/>
  <c r="E505"/>
  <c r="G581" i="16"/>
  <c r="H76"/>
  <c r="J76" s="1"/>
  <c r="H129"/>
  <c r="J129" s="1"/>
  <c r="H142"/>
  <c r="J142" s="1"/>
  <c r="G464"/>
  <c r="H430"/>
  <c r="J430" s="1"/>
  <c r="D62" i="15"/>
  <c r="E17" i="17"/>
  <c r="E610"/>
  <c r="F17"/>
  <c r="E619"/>
  <c r="E208"/>
  <c r="E202" s="1"/>
  <c r="E219"/>
  <c r="E218" s="1"/>
  <c r="E601"/>
  <c r="E293"/>
  <c r="E561" s="1"/>
  <c r="F37" i="18" s="1"/>
  <c r="F38" s="1"/>
  <c r="E612" i="17"/>
  <c r="E89"/>
  <c r="E566" s="1"/>
  <c r="F52" i="18" s="1"/>
  <c r="F53" s="1"/>
  <c r="F612" i="17"/>
  <c r="F89"/>
  <c r="F566" s="1"/>
  <c r="G52" i="18" s="1"/>
  <c r="G53" s="1"/>
  <c r="F610" i="17"/>
  <c r="F252"/>
  <c r="F251" s="1"/>
  <c r="F67"/>
  <c r="F619"/>
  <c r="F208"/>
  <c r="F202" s="1"/>
  <c r="F219"/>
  <c r="F218" s="1"/>
  <c r="F601"/>
  <c r="F293"/>
  <c r="E483"/>
  <c r="E489"/>
  <c r="E493"/>
  <c r="E568" s="1"/>
  <c r="F56" i="18" s="1"/>
  <c r="F57" s="1"/>
  <c r="F483" i="17"/>
  <c r="F489"/>
  <c r="F493"/>
  <c r="F568" s="1"/>
  <c r="G56" i="18" s="1"/>
  <c r="G57" s="1"/>
  <c r="H187" i="16"/>
  <c r="J187" s="1"/>
  <c r="G52"/>
  <c r="G76"/>
  <c r="G75" s="1"/>
  <c r="F39" i="15" l="1"/>
  <c r="F35"/>
  <c r="F31"/>
  <c r="F25"/>
  <c r="F18"/>
  <c r="F16"/>
  <c r="F38"/>
  <c r="F33"/>
  <c r="F27"/>
  <c r="F22"/>
  <c r="F13"/>
  <c r="F14"/>
  <c r="D66"/>
  <c r="E442" i="17"/>
  <c r="E441" s="1"/>
  <c r="E440" s="1"/>
  <c r="G684" i="25"/>
  <c r="G685" s="1"/>
  <c r="H554" i="17"/>
  <c r="E584"/>
  <c r="E389"/>
  <c r="C33" i="18"/>
  <c r="C31" s="1"/>
  <c r="F389" i="17"/>
  <c r="D33" i="18"/>
  <c r="D31" s="1"/>
  <c r="F585" i="17"/>
  <c r="D18" i="18"/>
  <c r="E585" i="17"/>
  <c r="C18" i="18"/>
  <c r="F591" i="17"/>
  <c r="D26" i="18"/>
  <c r="D24" s="1"/>
  <c r="E587" i="17"/>
  <c r="C19" i="18"/>
  <c r="F583" i="17"/>
  <c r="E583"/>
  <c r="F584"/>
  <c r="D17" i="18"/>
  <c r="E373" i="17"/>
  <c r="E372" s="1"/>
  <c r="F373"/>
  <c r="F372" s="1"/>
  <c r="F66"/>
  <c r="E597"/>
  <c r="F597"/>
  <c r="E596"/>
  <c r="F125"/>
  <c r="F109" s="1"/>
  <c r="E125"/>
  <c r="E606"/>
  <c r="E66"/>
  <c r="E564" s="1"/>
  <c r="F45" i="18" s="1"/>
  <c r="F46" s="1"/>
  <c r="F621" i="17"/>
  <c r="G181" i="16"/>
  <c r="G706"/>
  <c r="J40"/>
  <c r="H706"/>
  <c r="J152"/>
  <c r="H128"/>
  <c r="H110" s="1"/>
  <c r="J110" s="1"/>
  <c r="G618"/>
  <c r="G128"/>
  <c r="G110" s="1"/>
  <c r="J323"/>
  <c r="H319"/>
  <c r="H318" s="1"/>
  <c r="H317" s="1"/>
  <c r="G550"/>
  <c r="J125"/>
  <c r="J280"/>
  <c r="H273"/>
  <c r="J527"/>
  <c r="H508"/>
  <c r="J508" s="1"/>
  <c r="J633"/>
  <c r="H618"/>
  <c r="J618" s="1"/>
  <c r="J563"/>
  <c r="H550"/>
  <c r="J550" s="1"/>
  <c r="J423"/>
  <c r="H410"/>
  <c r="G501"/>
  <c r="G68"/>
  <c r="G67" s="1"/>
  <c r="J411"/>
  <c r="H180"/>
  <c r="J180" s="1"/>
  <c r="J182"/>
  <c r="G96"/>
  <c r="H52"/>
  <c r="J52" s="1"/>
  <c r="J53"/>
  <c r="G17"/>
  <c r="G16" s="1"/>
  <c r="G429"/>
  <c r="G612"/>
  <c r="G639"/>
  <c r="G646"/>
  <c r="G337"/>
  <c r="G104"/>
  <c r="G103" s="1"/>
  <c r="G600"/>
  <c r="H376"/>
  <c r="J376" s="1"/>
  <c r="H581"/>
  <c r="J581" s="1"/>
  <c r="G460"/>
  <c r="G459" s="1"/>
  <c r="G179"/>
  <c r="G399"/>
  <c r="G333"/>
  <c r="G223"/>
  <c r="G186"/>
  <c r="G185" s="1"/>
  <c r="G32"/>
  <c r="G485"/>
  <c r="G404"/>
  <c r="G230"/>
  <c r="G187"/>
  <c r="G681" s="1"/>
  <c r="G95"/>
  <c r="G453"/>
  <c r="G577"/>
  <c r="G576" s="1"/>
  <c r="G389"/>
  <c r="G169"/>
  <c r="G51"/>
  <c r="G27"/>
  <c r="G475"/>
  <c r="G395"/>
  <c r="G329"/>
  <c r="G219"/>
  <c r="G481"/>
  <c r="G409"/>
  <c r="G198"/>
  <c r="G536"/>
  <c r="H400"/>
  <c r="J400" s="1"/>
  <c r="H646"/>
  <c r="H198"/>
  <c r="H68"/>
  <c r="J68" s="1"/>
  <c r="H96"/>
  <c r="J96" s="1"/>
  <c r="H17"/>
  <c r="H104"/>
  <c r="H359"/>
  <c r="H75"/>
  <c r="J75" s="1"/>
  <c r="H44"/>
  <c r="J44" s="1"/>
  <c r="H337"/>
  <c r="J337" s="1"/>
  <c r="H612"/>
  <c r="J612" s="1"/>
  <c r="H577"/>
  <c r="H600"/>
  <c r="J600" s="1"/>
  <c r="H429"/>
  <c r="J429" s="1"/>
  <c r="H639"/>
  <c r="J639" s="1"/>
  <c r="H501"/>
  <c r="J501" s="1"/>
  <c r="H241"/>
  <c r="H460"/>
  <c r="J460" s="1"/>
  <c r="H481"/>
  <c r="J481" s="1"/>
  <c r="H333"/>
  <c r="J333" s="1"/>
  <c r="H223"/>
  <c r="J223" s="1"/>
  <c r="H186"/>
  <c r="H32"/>
  <c r="J32" s="1"/>
  <c r="H485"/>
  <c r="J485" s="1"/>
  <c r="H395"/>
  <c r="J395" s="1"/>
  <c r="H230"/>
  <c r="J230" s="1"/>
  <c r="H39"/>
  <c r="H537"/>
  <c r="J537" s="1"/>
  <c r="H389"/>
  <c r="J389" s="1"/>
  <c r="H345"/>
  <c r="J345" s="1"/>
  <c r="J319"/>
  <c r="H169"/>
  <c r="J169" s="1"/>
  <c r="H51"/>
  <c r="J51" s="1"/>
  <c r="H453"/>
  <c r="J453" s="1"/>
  <c r="H404"/>
  <c r="J404" s="1"/>
  <c r="H329"/>
  <c r="J329" s="1"/>
  <c r="H219"/>
  <c r="J219" s="1"/>
  <c r="H181"/>
  <c r="H91"/>
  <c r="J91" s="1"/>
  <c r="H57"/>
  <c r="J57" s="1"/>
  <c r="H27"/>
  <c r="J27" s="1"/>
  <c r="H475"/>
  <c r="J475" s="1"/>
  <c r="G241"/>
  <c r="D15" i="12"/>
  <c r="D14" s="1"/>
  <c r="D17" s="1"/>
  <c r="E336" i="17"/>
  <c r="E335" s="1"/>
  <c r="E334" s="1"/>
  <c r="F586"/>
  <c r="F336"/>
  <c r="F335" s="1"/>
  <c r="F334" s="1"/>
  <c r="F596"/>
  <c r="F442"/>
  <c r="F441" s="1"/>
  <c r="F440" s="1"/>
  <c r="G358" i="16"/>
  <c r="G357" s="1"/>
  <c r="G356" s="1"/>
  <c r="E616" i="17"/>
  <c r="F488"/>
  <c r="F563" s="1"/>
  <c r="G43" i="18" s="1"/>
  <c r="G44" s="1"/>
  <c r="F605" i="17"/>
  <c r="E488"/>
  <c r="E482" s="1"/>
  <c r="E605"/>
  <c r="E422"/>
  <c r="E591"/>
  <c r="E621"/>
  <c r="E229"/>
  <c r="F402"/>
  <c r="F401" s="1"/>
  <c r="E571"/>
  <c r="F62" i="18" s="1"/>
  <c r="F63" s="1"/>
  <c r="E569" i="17"/>
  <c r="F58" i="18" s="1"/>
  <c r="F59" s="1"/>
  <c r="E603" i="17"/>
  <c r="F603"/>
  <c r="F527"/>
  <c r="F526" s="1"/>
  <c r="F422"/>
  <c r="F504"/>
  <c r="F503" s="1"/>
  <c r="F502" s="1"/>
  <c r="F615"/>
  <c r="F194"/>
  <c r="F570" s="1"/>
  <c r="G60" i="18" s="1"/>
  <c r="G61" s="1"/>
  <c r="G500" i="16"/>
  <c r="C62" i="15"/>
  <c r="E310" i="17"/>
  <c r="E309" s="1"/>
  <c r="E615"/>
  <c r="E586"/>
  <c r="E22"/>
  <c r="E573"/>
  <c r="F67" i="18" s="1"/>
  <c r="F68" s="1"/>
  <c r="E504" i="17"/>
  <c r="E503" s="1"/>
  <c r="E502" s="1"/>
  <c r="F573"/>
  <c r="G67" i="18" s="1"/>
  <c r="G68" s="1"/>
  <c r="F310" i="17"/>
  <c r="F309" s="1"/>
  <c r="F561"/>
  <c r="G37" i="18" s="1"/>
  <c r="G38" s="1"/>
  <c r="F292" i="17"/>
  <c r="F291" s="1"/>
  <c r="F572"/>
  <c r="G64" i="18" s="1"/>
  <c r="G65" s="1"/>
  <c r="F606" i="17"/>
  <c r="E193"/>
  <c r="E292"/>
  <c r="E291" s="1"/>
  <c r="E572"/>
  <c r="F64" i="18" s="1"/>
  <c r="F65" s="1"/>
  <c r="E609" i="17"/>
  <c r="F684" i="25" l="1"/>
  <c r="E39" i="15"/>
  <c r="E35"/>
  <c r="E31"/>
  <c r="E25"/>
  <c r="E18"/>
  <c r="E16"/>
  <c r="E38"/>
  <c r="E33"/>
  <c r="E27"/>
  <c r="E22"/>
  <c r="E13"/>
  <c r="E14"/>
  <c r="C66"/>
  <c r="E560" i="17"/>
  <c r="F31" i="18" s="1"/>
  <c r="F32" s="1"/>
  <c r="G554" i="17"/>
  <c r="F685" i="25"/>
  <c r="F371" i="17"/>
  <c r="E371"/>
  <c r="E593"/>
  <c r="E629" s="1"/>
  <c r="F80" i="18" s="1"/>
  <c r="C28"/>
  <c r="F421" i="17"/>
  <c r="F420" s="1"/>
  <c r="D28" i="18"/>
  <c r="C15"/>
  <c r="D15"/>
  <c r="E109" i="17"/>
  <c r="E578" s="1"/>
  <c r="C86" i="18" s="1"/>
  <c r="H681" i="16"/>
  <c r="H682" s="1"/>
  <c r="H179"/>
  <c r="J179" s="1"/>
  <c r="J186"/>
  <c r="H185"/>
  <c r="J185" s="1"/>
  <c r="J359"/>
  <c r="H358"/>
  <c r="H357" s="1"/>
  <c r="H356" s="1"/>
  <c r="J39"/>
  <c r="H38"/>
  <c r="J181"/>
  <c r="H576"/>
  <c r="J576" s="1"/>
  <c r="J577"/>
  <c r="H645"/>
  <c r="J645" s="1"/>
  <c r="J646"/>
  <c r="H103"/>
  <c r="J103" s="1"/>
  <c r="J104"/>
  <c r="H240"/>
  <c r="J240" s="1"/>
  <c r="J241"/>
  <c r="H16"/>
  <c r="J16" s="1"/>
  <c r="J17"/>
  <c r="H197"/>
  <c r="J197" s="1"/>
  <c r="J198"/>
  <c r="H272"/>
  <c r="J272" s="1"/>
  <c r="J273"/>
  <c r="H409"/>
  <c r="J409" s="1"/>
  <c r="J410"/>
  <c r="J128"/>
  <c r="G638"/>
  <c r="G428"/>
  <c r="G427" s="1"/>
  <c r="G426" s="1"/>
  <c r="G697" s="1"/>
  <c r="G526" i="17" s="1"/>
  <c r="G645" i="16"/>
  <c r="G617"/>
  <c r="G599"/>
  <c r="G598" s="1"/>
  <c r="H399"/>
  <c r="J399" s="1"/>
  <c r="G394"/>
  <c r="G575"/>
  <c r="G272"/>
  <c r="G197"/>
  <c r="G26"/>
  <c r="G31"/>
  <c r="G240"/>
  <c r="G452"/>
  <c r="G535"/>
  <c r="G480"/>
  <c r="G328"/>
  <c r="G168"/>
  <c r="G229"/>
  <c r="G66"/>
  <c r="G499"/>
  <c r="G408"/>
  <c r="G218"/>
  <c r="G208" s="1"/>
  <c r="G474"/>
  <c r="G50"/>
  <c r="G388"/>
  <c r="G682"/>
  <c r="H67"/>
  <c r="J67" s="1"/>
  <c r="H43"/>
  <c r="J43" s="1"/>
  <c r="H536"/>
  <c r="J536" s="1"/>
  <c r="H95"/>
  <c r="J95" s="1"/>
  <c r="H500"/>
  <c r="J500" s="1"/>
  <c r="H459"/>
  <c r="J459" s="1"/>
  <c r="H239"/>
  <c r="J239" s="1"/>
  <c r="H428"/>
  <c r="J428" s="1"/>
  <c r="H644"/>
  <c r="J644" s="1"/>
  <c r="H617"/>
  <c r="J617" s="1"/>
  <c r="H638"/>
  <c r="J638" s="1"/>
  <c r="H599"/>
  <c r="H575"/>
  <c r="J575" s="1"/>
  <c r="H56"/>
  <c r="J56" s="1"/>
  <c r="H328"/>
  <c r="J328" s="1"/>
  <c r="H452"/>
  <c r="J452" s="1"/>
  <c r="H168"/>
  <c r="J168" s="1"/>
  <c r="H344"/>
  <c r="J344" s="1"/>
  <c r="H196"/>
  <c r="H229"/>
  <c r="J229" s="1"/>
  <c r="H480"/>
  <c r="J480" s="1"/>
  <c r="H26"/>
  <c r="J26" s="1"/>
  <c r="H90"/>
  <c r="J90" s="1"/>
  <c r="H218"/>
  <c r="H50"/>
  <c r="J50" s="1"/>
  <c r="J318"/>
  <c r="H388"/>
  <c r="J388" s="1"/>
  <c r="H271"/>
  <c r="J271" s="1"/>
  <c r="J38"/>
  <c r="H394"/>
  <c r="J394" s="1"/>
  <c r="H31"/>
  <c r="J31" s="1"/>
  <c r="H474"/>
  <c r="J474" s="1"/>
  <c r="G695"/>
  <c r="G440" i="17" s="1"/>
  <c r="C15" i="12"/>
  <c r="C14" s="1"/>
  <c r="C17" s="1"/>
  <c r="E563" i="17"/>
  <c r="F43" i="18" s="1"/>
  <c r="F44" s="1"/>
  <c r="F578" i="17"/>
  <c r="D86" i="18" s="1"/>
  <c r="F627" i="17"/>
  <c r="F482"/>
  <c r="F476" s="1"/>
  <c r="F560"/>
  <c r="G31" i="18" s="1"/>
  <c r="G32" s="1"/>
  <c r="E562" i="17"/>
  <c r="F40" i="18" s="1"/>
  <c r="F41" s="1"/>
  <c r="E308" i="17"/>
  <c r="F562"/>
  <c r="G40" i="18" s="1"/>
  <c r="G41" s="1"/>
  <c r="E421" i="17"/>
  <c r="E420" s="1"/>
  <c r="F593"/>
  <c r="F609"/>
  <c r="F230"/>
  <c r="F193"/>
  <c r="F175" s="1"/>
  <c r="E476"/>
  <c r="E175"/>
  <c r="E217"/>
  <c r="F308"/>
  <c r="F564"/>
  <c r="G45" i="18" s="1"/>
  <c r="G46" s="1"/>
  <c r="F65" i="17"/>
  <c r="F16" s="1"/>
  <c r="F628" l="1"/>
  <c r="F559"/>
  <c r="F307"/>
  <c r="D14" i="18"/>
  <c r="D80" s="1"/>
  <c r="D89" s="1"/>
  <c r="C14"/>
  <c r="C80" s="1"/>
  <c r="C89" s="1"/>
  <c r="E627" i="17"/>
  <c r="E628" s="1"/>
  <c r="E65"/>
  <c r="E16" s="1"/>
  <c r="F629"/>
  <c r="G80" i="18" s="1"/>
  <c r="J196" i="16"/>
  <c r="H178"/>
  <c r="J218"/>
  <c r="H208"/>
  <c r="J358"/>
  <c r="J599"/>
  <c r="H598"/>
  <c r="J598" s="1"/>
  <c r="G37"/>
  <c r="H408"/>
  <c r="J408" s="1"/>
  <c r="G616"/>
  <c r="G644"/>
  <c r="G637"/>
  <c r="G327"/>
  <c r="G239"/>
  <c r="G25"/>
  <c r="G271"/>
  <c r="G393"/>
  <c r="G387" s="1"/>
  <c r="G498"/>
  <c r="G167"/>
  <c r="G534"/>
  <c r="J357"/>
  <c r="H66"/>
  <c r="H37" s="1"/>
  <c r="G228"/>
  <c r="G451"/>
  <c r="G479"/>
  <c r="G196"/>
  <c r="G574"/>
  <c r="H535"/>
  <c r="J535" s="1"/>
  <c r="H499"/>
  <c r="H427"/>
  <c r="J427" s="1"/>
  <c r="H643"/>
  <c r="J643" s="1"/>
  <c r="H574"/>
  <c r="J574" s="1"/>
  <c r="H637"/>
  <c r="J637" s="1"/>
  <c r="H616"/>
  <c r="J616" s="1"/>
  <c r="H167"/>
  <c r="J167" s="1"/>
  <c r="J208"/>
  <c r="H343"/>
  <c r="J343" s="1"/>
  <c r="H393"/>
  <c r="J393" s="1"/>
  <c r="J317"/>
  <c r="H25"/>
  <c r="J25" s="1"/>
  <c r="H479"/>
  <c r="J479" s="1"/>
  <c r="H228"/>
  <c r="J228" s="1"/>
  <c r="H451"/>
  <c r="J451" s="1"/>
  <c r="H327"/>
  <c r="J327" s="1"/>
  <c r="E307" i="17"/>
  <c r="E559"/>
  <c r="F565"/>
  <c r="G49" i="18" s="1"/>
  <c r="G50" s="1"/>
  <c r="F229" i="17"/>
  <c r="F217" s="1"/>
  <c r="F554" l="1"/>
  <c r="F82" i="18"/>
  <c r="G14"/>
  <c r="G15" s="1"/>
  <c r="F579" i="17"/>
  <c r="G82" i="18"/>
  <c r="F14"/>
  <c r="F15" s="1"/>
  <c r="E579" i="17"/>
  <c r="E631" s="1"/>
  <c r="J66" i="16"/>
  <c r="H498"/>
  <c r="J498" s="1"/>
  <c r="J499"/>
  <c r="G597"/>
  <c r="G497" s="1"/>
  <c r="G643"/>
  <c r="H534"/>
  <c r="J534" s="1"/>
  <c r="G458"/>
  <c r="H426"/>
  <c r="J426" s="1"/>
  <c r="G450"/>
  <c r="G227"/>
  <c r="J356"/>
  <c r="G690"/>
  <c r="G164" i="17" s="1"/>
  <c r="G15" i="16"/>
  <c r="G326"/>
  <c r="H458"/>
  <c r="H636"/>
  <c r="J636" s="1"/>
  <c r="H597"/>
  <c r="J597" s="1"/>
  <c r="H326"/>
  <c r="J326" s="1"/>
  <c r="H15"/>
  <c r="J15" s="1"/>
  <c r="H690"/>
  <c r="H164" i="17" s="1"/>
  <c r="J37" i="16"/>
  <c r="H450"/>
  <c r="J450" s="1"/>
  <c r="H227"/>
  <c r="J227" s="1"/>
  <c r="H342"/>
  <c r="J342" s="1"/>
  <c r="J178"/>
  <c r="J691" s="1"/>
  <c r="J699" s="1"/>
  <c r="H387"/>
  <c r="J387" s="1"/>
  <c r="H695"/>
  <c r="H440" i="17" s="1"/>
  <c r="E554"/>
  <c r="F581" l="1"/>
  <c r="E556"/>
  <c r="E581"/>
  <c r="H697" i="16"/>
  <c r="H526" i="17" s="1"/>
  <c r="H457" i="16"/>
  <c r="J457" s="1"/>
  <c r="J458"/>
  <c r="G636"/>
  <c r="G496" s="1"/>
  <c r="G691"/>
  <c r="G175" i="17" s="1"/>
  <c r="G694" i="16"/>
  <c r="G307" i="17" s="1"/>
  <c r="G308" s="1"/>
  <c r="G698" i="16"/>
  <c r="G547" i="17" s="1"/>
  <c r="G692" i="16"/>
  <c r="G217" i="17" s="1"/>
  <c r="G36" i="16"/>
  <c r="G693"/>
  <c r="G291" i="17" s="1"/>
  <c r="G457" i="16"/>
  <c r="G14"/>
  <c r="G688"/>
  <c r="H497"/>
  <c r="H691"/>
  <c r="H175" i="17" s="1"/>
  <c r="H696" i="16"/>
  <c r="H476" i="17" s="1"/>
  <c r="H692" i="16"/>
  <c r="H217" i="17" s="1"/>
  <c r="H14" i="16"/>
  <c r="J14" s="1"/>
  <c r="H36"/>
  <c r="J36" s="1"/>
  <c r="H688"/>
  <c r="H698"/>
  <c r="H547" i="17" s="1"/>
  <c r="H693" i="16"/>
  <c r="H291" i="17" s="1"/>
  <c r="F631"/>
  <c r="H496" i="16" l="1"/>
  <c r="J496" s="1"/>
  <c r="J678" s="1"/>
  <c r="J497"/>
  <c r="G696"/>
  <c r="G476" i="17" s="1"/>
  <c r="G678" i="16"/>
  <c r="G16" i="17"/>
  <c r="H694" i="16"/>
  <c r="H307" i="17" s="1"/>
  <c r="C16" i="3"/>
  <c r="C19" s="1"/>
  <c r="H678" i="16" l="1"/>
  <c r="G699"/>
  <c r="H699"/>
  <c r="F556" i="17" s="1"/>
  <c r="H679" i="16" l="1"/>
</calcChain>
</file>

<file path=xl/sharedStrings.xml><?xml version="1.0" encoding="utf-8"?>
<sst xmlns="http://schemas.openxmlformats.org/spreadsheetml/2006/main" count="15654" uniqueCount="958">
  <si>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</si>
  <si>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</si>
  <si>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</si>
  <si>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</si>
  <si>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</si>
  <si>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</si>
  <si>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</si>
  <si>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</si>
  <si>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</si>
  <si>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</si>
  <si>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</si>
  <si>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</si>
  <si>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</si>
  <si>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</si>
  <si>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</si>
  <si>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</si>
  <si>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</si>
  <si>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</si>
  <si>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</si>
  <si>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</si>
  <si>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</si>
  <si>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</si>
  <si>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</si>
  <si>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</si>
  <si>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</si>
  <si>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</si>
  <si>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</si>
  <si>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</si>
  <si>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</si>
  <si>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</si>
  <si>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</si>
  <si>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</si>
  <si>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</si>
  <si>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</si>
  <si>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</si>
  <si>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</si>
  <si>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</si>
  <si>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</si>
  <si>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</si>
  <si>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</si>
  <si>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</si>
  <si>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</si>
  <si>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</si>
  <si>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</si>
  <si>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</si>
  <si>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</si>
  <si>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</si>
  <si>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</si>
  <si>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</si>
  <si>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</si>
  <si>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</si>
  <si>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</si>
  <si>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</si>
  <si>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</si>
  <si>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</si>
  <si>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</si>
  <si>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</si>
  <si>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</si>
  <si>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</si>
  <si>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</si>
  <si>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</si>
  <si>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</si>
  <si>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</si>
  <si>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</si>
  <si>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</si>
  <si>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</si>
  <si>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</si>
  <si>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</si>
  <si>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</si>
  <si>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</si>
  <si>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</si>
  <si>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</si>
  <si>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</si>
  <si>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</si>
  <si>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</si>
  <si>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</si>
  <si>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</si>
  <si>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</si>
  <si>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</si>
  <si>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</si>
  <si>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</si>
  <si>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</si>
  <si>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</si>
  <si>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</si>
  <si>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</si>
  <si>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</si>
  <si>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</si>
  <si>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</si>
  <si>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</si>
  <si>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</si>
  <si>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</si>
  <si>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</si>
  <si>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</si>
  <si>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</si>
  <si>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</si>
  <si>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</si>
  <si>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</si>
  <si>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</si>
  <si>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</si>
  <si>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</si>
  <si>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</si>
  <si>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</si>
  <si>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</si>
  <si>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</si>
  <si>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</si>
  <si>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</si>
  <si>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</si>
  <si>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</si>
  <si>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</si>
  <si>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</si>
  <si>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</si>
  <si>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</si>
  <si>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</si>
  <si>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</si>
  <si>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</si>
  <si>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</si>
  <si>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</si>
  <si>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</si>
  <si>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</si>
  <si>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</si>
  <si>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</si>
  <si>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</si>
  <si>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</si>
  <si>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</si>
  <si>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</si>
  <si>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</si>
  <si>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</si>
  <si>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</si>
  <si>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</si>
  <si>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</si>
  <si>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</si>
  <si>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</si>
  <si>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</si>
  <si>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</si>
  <si>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</si>
  <si>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</si>
  <si>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</si>
  <si>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</si>
  <si>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</si>
  <si>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</si>
  <si>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</si>
  <si>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</si>
  <si>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</si>
  <si>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</si>
  <si>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</si>
  <si>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</si>
  <si>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</si>
  <si>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</si>
  <si>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</si>
  <si>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</si>
  <si>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</si>
  <si>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</si>
  <si>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</si>
  <si>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</si>
  <si>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</si>
  <si>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</si>
  <si>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</si>
  <si>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</si>
  <si>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</si>
  <si>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</si>
  <si>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</si>
  <si>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</si>
  <si>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</si>
  <si>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</si>
  <si>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</si>
  <si>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</si>
  <si>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</si>
  <si>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</si>
  <si>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</si>
  <si>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</si>
  <si>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</si>
  <si>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</si>
  <si>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</si>
  <si>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</si>
  <si>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</si>
  <si>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</si>
  <si>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</si>
  <si>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</si>
  <si>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</si>
  <si>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</si>
  <si>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</si>
  <si>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</si>
  <si>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</si>
  <si>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</si>
  <si>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</si>
  <si>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</si>
  <si>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</si>
  <si>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</si>
  <si>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</si>
  <si>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</si>
  <si>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</si>
  <si>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</si>
  <si>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</si>
  <si>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</si>
  <si>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</si>
  <si>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</si>
  <si>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</si>
  <si>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</si>
  <si>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</si>
  <si>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</si>
  <si>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</si>
  <si>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</si>
  <si>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</si>
  <si>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</si>
  <si>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</si>
  <si>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</si>
  <si>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</si>
  <si>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</si>
  <si>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</si>
  <si>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</si>
  <si>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</si>
  <si>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</si>
  <si>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</si>
  <si>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</si>
  <si>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</si>
  <si>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</si>
  <si>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</si>
  <si>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</si>
  <si>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</si>
  <si>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</si>
  <si>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</si>
  <si>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</si>
  <si>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</si>
  <si>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</si>
  <si>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</si>
  <si>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</si>
  <si>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</si>
  <si>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</si>
  <si>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</si>
  <si>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</si>
  <si>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</si>
  <si>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</si>
  <si>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</si>
  <si>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</si>
  <si>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</si>
  <si>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</si>
  <si>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</si>
  <si>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</si>
  <si>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</si>
  <si>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</si>
  <si>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</si>
  <si>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</si>
  <si>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</si>
  <si>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</si>
  <si>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</si>
  <si>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</si>
  <si>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</si>
  <si>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</si>
  <si>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</si>
  <si>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</si>
  <si>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</si>
  <si>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</si>
  <si>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</si>
  <si>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</si>
  <si>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</si>
  <si>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</si>
  <si>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</si>
  <si>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</si>
  <si>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</si>
  <si>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</si>
  <si>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</si>
  <si>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</si>
  <si>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</si>
  <si>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</si>
  <si>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</si>
  <si>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</si>
  <si>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</si>
  <si>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</si>
  <si>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</si>
  <si>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</si>
  <si>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</si>
  <si>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</si>
  <si>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</si>
  <si>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</si>
  <si>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</si>
  <si>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</si>
  <si>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</si>
  <si>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</si>
  <si>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</si>
  <si>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</si>
  <si>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</si>
  <si>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</si>
  <si>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</si>
  <si>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</si>
  <si>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</si>
  <si>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</si>
  <si>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</si>
  <si>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</si>
  <si>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</si>
  <si>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</si>
  <si>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</si>
  <si>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</si>
  <si>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</si>
  <si>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</si>
  <si>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</si>
  <si>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</si>
  <si>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</si>
  <si>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</si>
  <si>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</si>
  <si>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</si>
  <si>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</si>
  <si>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</si>
  <si>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</si>
  <si>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</si>
  <si>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</si>
  <si>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</si>
  <si>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</si>
  <si>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</si>
  <si>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</si>
  <si>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</si>
  <si>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</si>
  <si>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</si>
  <si>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</si>
  <si>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</si>
  <si>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</si>
  <si>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</si>
  <si>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</si>
  <si>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</si>
  <si>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1196200000</t>
  </si>
  <si>
    <t>1196212080</t>
  </si>
  <si>
    <t>1600000000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</si>
  <si>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</si>
  <si>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</si>
  <si>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</si>
  <si>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</si>
  <si>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</si>
  <si>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</si>
  <si>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</si>
  <si>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</si>
  <si>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</si>
  <si>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</si>
  <si>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</si>
  <si>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</si>
  <si>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</si>
  <si>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</si>
  <si>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</si>
  <si>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</si>
  <si>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</si>
  <si>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</si>
  <si>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</si>
  <si>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</si>
  <si>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</si>
  <si>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</si>
  <si>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</si>
  <si>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</si>
  <si>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</si>
  <si>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</si>
  <si>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</si>
  <si>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</si>
  <si>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</si>
  <si>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</si>
  <si>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</si>
  <si>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</si>
  <si>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</si>
  <si>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</si>
  <si>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</si>
  <si>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</si>
  <si>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</si>
  <si>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</si>
  <si>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</si>
  <si>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</si>
  <si>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</si>
  <si>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</si>
  <si>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</si>
  <si>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</si>
  <si>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</si>
  <si>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</si>
  <si>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</si>
  <si>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</si>
  <si>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</si>
  <si>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</si>
  <si>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</si>
  <si>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</si>
  <si>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</si>
  <si>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</si>
  <si>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</si>
  <si>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</si>
  <si>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</si>
  <si>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</si>
  <si>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</si>
  <si>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</si>
  <si>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</si>
  <si>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</si>
  <si>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</si>
  <si>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</si>
  <si>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</si>
  <si>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</si>
  <si>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</si>
  <si>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</si>
  <si>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</si>
  <si>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</si>
  <si>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</si>
  <si>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</si>
  <si>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</si>
  <si>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</si>
  <si>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</si>
  <si>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</si>
  <si>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</si>
  <si>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</si>
  <si>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</si>
  <si>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</si>
  <si>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</si>
  <si>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</si>
  <si>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</si>
  <si>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</si>
  <si>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</si>
  <si>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</si>
  <si>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</si>
  <si>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</si>
  <si>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</si>
  <si>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</si>
  <si>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</si>
  <si>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</si>
  <si>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</si>
  <si>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</si>
  <si>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</si>
  <si>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</si>
  <si>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</si>
  <si>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</si>
  <si>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</si>
  <si>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</si>
  <si>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</si>
  <si>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</si>
  <si>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</si>
  <si>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</si>
  <si>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</si>
  <si>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</si>
  <si>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</si>
  <si>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</si>
  <si>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</si>
  <si>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</si>
  <si>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</si>
  <si>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</si>
  <si>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</si>
  <si>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Приложение 8</t>
  </si>
  <si>
    <t>Наименование межбюджетных трансфертов</t>
  </si>
  <si>
    <t>Приложение 10</t>
  </si>
  <si>
    <t>Наименование межбюджетных трасфертов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</si>
  <si>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</si>
  <si>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</si>
  <si>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</si>
  <si>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</si>
  <si>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</si>
  <si>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</si>
  <si>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</si>
  <si>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</si>
  <si>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</si>
  <si>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</si>
  <si>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</si>
  <si>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</si>
  <si>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</si>
  <si>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</si>
  <si>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</si>
  <si>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</si>
  <si>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</si>
  <si>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</si>
  <si>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</si>
  <si>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</si>
  <si>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019E500000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</si>
  <si>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</si>
  <si>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</si>
  <si>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</si>
  <si>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</si>
  <si>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</si>
  <si>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</si>
  <si>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</si>
  <si>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</si>
  <si>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</si>
  <si>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</si>
  <si>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</si>
  <si>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</si>
  <si>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</si>
  <si>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</si>
  <si>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</si>
  <si>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</si>
  <si>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</si>
  <si>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</si>
  <si>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</si>
  <si>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</si>
  <si>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</si>
  <si>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</si>
  <si>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</si>
  <si>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</si>
  <si>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</si>
  <si>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</si>
  <si>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</si>
  <si>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</si>
  <si>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</si>
  <si>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</si>
  <si>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</si>
  <si>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</si>
  <si>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</si>
  <si>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</si>
  <si>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</si>
  <si>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</si>
  <si>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</si>
  <si>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</si>
  <si>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</si>
  <si>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</si>
  <si>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</si>
  <si>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</si>
  <si>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</si>
  <si>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</si>
  <si>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</si>
  <si>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</si>
  <si>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</si>
  <si>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</si>
  <si>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</si>
  <si>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</si>
  <si>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</si>
  <si>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</si>
  <si>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</si>
  <si>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</si>
  <si>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</si>
  <si>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</si>
  <si>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</si>
  <si>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</si>
  <si>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</si>
  <si>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</si>
  <si>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</si>
  <si>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</si>
  <si>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</si>
  <si>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</si>
  <si>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</si>
  <si>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</si>
  <si>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</si>
  <si>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</si>
  <si>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</si>
  <si>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</si>
  <si>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</si>
  <si>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</si>
  <si>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</si>
  <si>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</si>
  <si>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</si>
  <si>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</si>
  <si>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</si>
  <si>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</si>
  <si>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</si>
  <si>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</si>
  <si>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</si>
  <si>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</si>
  <si>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</si>
  <si>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</si>
  <si>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</si>
  <si>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</si>
  <si>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</si>
  <si>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</si>
  <si>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</si>
  <si>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</si>
  <si>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 xml:space="preserve">внутреннего финансирования дефицита  бюджета Ханкайского муниципального округа  </t>
  </si>
  <si>
    <t>Управление образования Администрации Ханкайского муниципального округа Приморского края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</si>
  <si>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</si>
  <si>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</si>
  <si>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</si>
  <si>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</si>
  <si>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</si>
  <si>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</si>
  <si>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</si>
  <si>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</si>
  <si>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</si>
  <si>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</si>
  <si>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</si>
  <si>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</si>
  <si>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</si>
  <si>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</si>
  <si>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</si>
  <si>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</si>
  <si>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</si>
  <si>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</si>
  <si>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</si>
  <si>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</si>
  <si>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</si>
  <si>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</si>
  <si>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</si>
  <si>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</si>
  <si>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</si>
  <si>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</si>
  <si>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</si>
  <si>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</si>
  <si>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</si>
  <si>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</si>
  <si>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</si>
  <si>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</si>
  <si>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</si>
  <si>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</si>
  <si>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</si>
  <si>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</si>
  <si>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</si>
  <si>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</si>
  <si>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</si>
  <si>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</si>
  <si>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</si>
  <si>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</si>
  <si>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</si>
  <si>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</si>
  <si>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</si>
  <si>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</si>
  <si>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</si>
  <si>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</si>
  <si>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</si>
  <si>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</si>
  <si>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</si>
  <si>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</si>
  <si>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</si>
  <si>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</si>
  <si>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</si>
  <si>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</si>
  <si>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</si>
  <si>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</si>
  <si>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</si>
  <si>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</si>
  <si>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</si>
  <si>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</si>
  <si>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</si>
  <si>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</si>
  <si>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</si>
  <si>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</si>
  <si>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</si>
  <si>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</si>
  <si>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</si>
  <si>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</si>
  <si>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</si>
  <si>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</si>
  <si>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</si>
  <si>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</si>
  <si>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</si>
  <si>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</si>
  <si>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</si>
  <si>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</si>
  <si>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</si>
  <si>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</si>
  <si>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</si>
  <si>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</si>
  <si>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</si>
  <si>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</si>
  <si>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</si>
  <si>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</si>
  <si>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</si>
  <si>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</si>
  <si>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</si>
  <si>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</si>
  <si>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</si>
  <si>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</si>
  <si>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</si>
  <si>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</si>
  <si>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</si>
  <si>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</si>
  <si>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</si>
  <si>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</si>
  <si>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</si>
  <si>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</si>
  <si>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</si>
  <si>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</si>
  <si>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</si>
  <si>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</si>
  <si>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</si>
  <si>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</si>
  <si>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</si>
  <si>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</si>
  <si>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</si>
  <si>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</si>
  <si>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</si>
  <si>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</si>
  <si>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</si>
  <si>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</si>
  <si>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</si>
  <si>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</si>
  <si>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</si>
  <si>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</si>
  <si>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</si>
  <si>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</si>
  <si>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</si>
  <si>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</si>
  <si>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</si>
  <si>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</si>
  <si>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</si>
  <si>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</si>
  <si>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</si>
  <si>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</si>
  <si>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</si>
  <si>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</si>
  <si>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</si>
  <si>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</si>
  <si>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</si>
  <si>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</si>
  <si>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</si>
  <si>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</si>
  <si>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</si>
  <si>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</si>
  <si>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</si>
  <si>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</si>
  <si>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</si>
  <si>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</si>
  <si>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</si>
  <si>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</si>
  <si>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</si>
  <si>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</si>
  <si>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</si>
  <si>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</si>
  <si>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</si>
  <si>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</si>
  <si>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</si>
  <si>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</si>
  <si>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</si>
  <si>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</si>
  <si>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</si>
  <si>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</si>
  <si>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</si>
  <si>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</si>
  <si>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</si>
  <si>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</si>
  <si>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</si>
  <si>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</si>
  <si>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</si>
  <si>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</si>
  <si>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</si>
  <si>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</si>
  <si>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</si>
  <si>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</si>
  <si>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</si>
  <si>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</si>
  <si>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</si>
  <si>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</si>
  <si>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</si>
  <si>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</si>
  <si>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</si>
  <si>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</si>
  <si>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</si>
  <si>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</si>
  <si>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</si>
  <si>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</si>
  <si>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</si>
  <si>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</si>
  <si>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</si>
  <si>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0121270060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</si>
  <si>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</si>
  <si>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</si>
  <si>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</si>
  <si>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</si>
  <si>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</si>
  <si>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</si>
  <si>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</si>
  <si>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</si>
  <si>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</si>
  <si>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2 02 39999 14 0000 150</t>
  </si>
  <si>
    <t>Прочие субвенции бюджетам муниципальных округов</t>
  </si>
  <si>
    <t>1 05 04060 02 0000 110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</si>
  <si>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</si>
  <si>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</si>
  <si>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0131220400</t>
  </si>
  <si>
    <t>019E100000</t>
  </si>
  <si>
    <t>019E193140</t>
  </si>
  <si>
    <t>Федеральный проект "Современная школа"</t>
  </si>
  <si>
    <t>Сумма на 2022 год утв</t>
  </si>
  <si>
    <t>Потребность 2022</t>
  </si>
  <si>
    <t>Возможность 2022</t>
  </si>
  <si>
    <t>Сумма утв 2021</t>
  </si>
  <si>
    <t>Прогноз 2022</t>
  </si>
  <si>
    <t>Утверждено 2022</t>
  </si>
  <si>
    <t>Отклонения от 2021 г</t>
  </si>
  <si>
    <t>Отклонения от утв 2022</t>
  </si>
  <si>
    <t>Сумма на 2024 год</t>
  </si>
  <si>
    <t>Основное мероприятие "Прочие расходы"</t>
  </si>
  <si>
    <t>Утверждено 2021 год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</si>
  <si>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</si>
  <si>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</si>
  <si>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</si>
  <si>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Итого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</si>
  <si>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</si>
  <si>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</si>
  <si>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</si>
  <si>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доходов бюджета Ханкайского муниципального округа на 2022 год</t>
  </si>
  <si>
    <t>Отклонение возможности от потребности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</si>
  <si>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</si>
  <si>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</si>
  <si>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</si>
  <si>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состояни, за счет краевого бюджета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</si>
  <si>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состояния, за счет краевого бюджета,</t>
  </si>
  <si>
    <t>Субсидии на приобретение и поставку спортивного инфентаря, спортивного оборудования и иного имущества для развития массового спорта</t>
  </si>
  <si>
    <t>049P592230</t>
  </si>
  <si>
    <t>19259S2360</t>
  </si>
  <si>
    <t>07974S5762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</si>
  <si>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</si>
  <si>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 xml:space="preserve">межбюджетных трансфертов от других бюджетов бюджетной системы на 2022 год  </t>
  </si>
  <si>
    <t>внутреннего финансирования дефицита  бюджета Ханкайского муниципального округа на 2022 год</t>
  </si>
  <si>
    <t xml:space="preserve">межбюджетных трансфертов от других бюджетов бюджетной системы на 2023 и 2024 годы  </t>
  </si>
  <si>
    <t xml:space="preserve">бюджетных ассигнований из бюджета Ханкайского муниципального округа на 2022 год в ведомственной </t>
  </si>
  <si>
    <t>Сумма 2022 год</t>
  </si>
  <si>
    <t>ИТОГО</t>
  </si>
  <si>
    <t xml:space="preserve"> бюджетных ассигнований из бюджета Ханкайского муниципального округа на 2022 год по разделам,  </t>
  </si>
  <si>
    <t>049P5S2230</t>
  </si>
  <si>
    <t>Софинансирование расходов на приобретение и поставку спортивного инфентаря, спортивного оборудования и иного имущества для развития массового спорта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</si>
  <si>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</si>
  <si>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 xml:space="preserve">Субсидии   на организацию предоставления транспортных услуг населению </t>
  </si>
  <si>
    <t>Подпрограмма"Обеспечение доступности транспортных услуг населению"</t>
  </si>
  <si>
    <t>ОМСУ</t>
  </si>
  <si>
    <t>норматив</t>
  </si>
  <si>
    <t>глава</t>
  </si>
  <si>
    <t>КСП</t>
  </si>
  <si>
    <t>резервный фонд предел</t>
  </si>
  <si>
    <t xml:space="preserve">Муниципальная программа "Развитие малого и среднего предпринимательства в Ханкайском муниципальном районе" на 2020-2024 годы </t>
  </si>
  <si>
    <t>Основное мероприятие: "Субсидии на оказание поддержки малого и среднего предпринимательства"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</si>
  <si>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</si>
  <si>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</si>
  <si>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0585400000</t>
  </si>
  <si>
    <t>0585440070</t>
  </si>
  <si>
    <t>0580000000</t>
  </si>
  <si>
    <t xml:space="preserve">Основное мероприятие: "Обеспечение доступности транспортных услуг населению" </t>
  </si>
  <si>
    <t>Распределение резервного фонда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</si>
  <si>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</si>
  <si>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доходов бюджета Ханкайского муниципального округа на 2023 и 2024 годы</t>
  </si>
  <si>
    <t xml:space="preserve">Основное мероприятие: "Субсидии на оказание поддержки малого и среднего предпринимательства" </t>
  </si>
  <si>
    <t>Сумма 2023 год</t>
  </si>
  <si>
    <t>Сумма 2024 год</t>
  </si>
  <si>
    <t>99199R0820</t>
  </si>
  <si>
    <t>Развитие муниципального дорожного фонда (содержание и ремонт, проектирование, строительство и капитальный ремонт улично- дородной сети на них и другие расходы)</t>
  </si>
  <si>
    <t>Утверждено на 2022 год</t>
  </si>
  <si>
    <t>Расходы на капитальный ремонт зданий и обустройство прилегающей территорий образовательных учреждений</t>
  </si>
  <si>
    <t>049P592220</t>
  </si>
  <si>
    <t>049P5S2220</t>
  </si>
  <si>
    <t>собственные</t>
  </si>
  <si>
    <t xml:space="preserve">условно утвержденные </t>
  </si>
  <si>
    <t>софинансирование</t>
  </si>
  <si>
    <t>в составе краевых</t>
  </si>
  <si>
    <t>условно утв 2,5%</t>
  </si>
  <si>
    <t>условно утв 5%</t>
  </si>
  <si>
    <t xml:space="preserve"> бюджетных ассигнований из бюджета Ханкайского муниципального округа на 2023 и 2024 годы  </t>
  </si>
  <si>
    <t xml:space="preserve">Сумма на 2024 год </t>
  </si>
  <si>
    <t>условно утв</t>
  </si>
  <si>
    <t>01313000000</t>
  </si>
  <si>
    <t>0900</t>
  </si>
  <si>
    <t>Основное мероприятие: "Обеспечение доступности транспортных услуг населению"</t>
  </si>
  <si>
    <t>1696100000</t>
  </si>
  <si>
    <t>1696140801</t>
  </si>
  <si>
    <t>Субсидии юридическим лицам, индивидуальным предпринимателям, физическим лицам- призводителям товаров, работ, услуг на возмещение затрат и (или) недополученных доходов в связи с производством (реализацией) товаров, выполнением работ, оказанием услуг.</t>
  </si>
  <si>
    <t xml:space="preserve">             на 2023 и 2024 годы</t>
  </si>
  <si>
    <t xml:space="preserve"> Ханкайского муниципального округа</t>
  </si>
  <si>
    <t>Перечень</t>
  </si>
  <si>
    <t xml:space="preserve">главных администраторов источников внутреннего  финансирования дефицита  бюджета                       </t>
  </si>
  <si>
    <t>Код главно-го админи-стратора</t>
  </si>
  <si>
    <t>Код источников внутреннего финансирования дефицита  бюджета муниципального округа</t>
  </si>
  <si>
    <t>ФИНАНСОВОЕ  УПРАВЛЕНИЕ АДМИНИСТРАЦИИ ХАНКАЙСКОГО МУНИЦИПАЛЬНОГО ОКРУГА ПРИМОРСКОГО КРАЯ</t>
  </si>
  <si>
    <t xml:space="preserve">Увеличение прочих остатков денежных средств бюджетов городских округов
</t>
  </si>
  <si>
    <t>01 05 02 01 14 0000 610</t>
  </si>
  <si>
    <t>01 05 02 01 14 0000 510</t>
  </si>
  <si>
    <t>Расходы на капитальный ремонт зданий и обустройство прилегающей территории образовательных учреждений</t>
  </si>
  <si>
    <t>Приложение 12</t>
  </si>
  <si>
    <t xml:space="preserve"> бюджетных ассигнований по муниципальным программам Ханкайского муниципального округа на 2022 год</t>
  </si>
  <si>
    <t xml:space="preserve"> муниципального округа на 2023 и 2024 годы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</si>
  <si>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</si>
  <si>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</si>
  <si>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Доля программных расходов</t>
  </si>
  <si>
    <t>Публично-нормативные</t>
  </si>
  <si>
    <t>Муниципальная программа  "Развитие образования в Ханкайском муниципальном округе" на 2020-2024 годы</t>
  </si>
  <si>
    <t>Подпрограмма "Развитие дошкольного образования в Ханкайском муниципальном округе" на 2020-2024 годы</t>
  </si>
  <si>
    <t>Муниципальная программа "Развитие образования в Ханкайском муниципальном округе" на 2020-2024 годы</t>
  </si>
  <si>
    <t>Муниципальная программа "Укрепление общественного здоровья в Ханкайском муниципальном округе" на 2020-2024 годы</t>
  </si>
  <si>
    <t>Муниципальная программа "Развитие информационного общества в Ханкайском муниципальном округе" на 2020-2024 годы</t>
  </si>
  <si>
    <t>Муниципальная программа "Развитие муниципальной службы в Ханкайском муниципальном округе" на 2020-2024 годы</t>
  </si>
  <si>
    <t>Подпрограмма "Развитие системы общего образования в  Ханкайском муниципальном округе" на 2020-2024 годы</t>
  </si>
  <si>
    <t>Подпрограмма "Развитие системы дополнительного образования в Ханкайском муниципальном округе" на 2020-2024 годы</t>
  </si>
  <si>
    <t>Подпрограмма "Развитие системы общего образования в  Ханкайском муниципальном округе" в 2020-2024 годы</t>
  </si>
  <si>
    <t>Подпрограмма "Развитие дошкольного образования в Ханкайском муниципальном округе" 2020-2024 годы</t>
  </si>
  <si>
    <t>Основное мероприятие: "Совершенствование деятельности муниципальной службы в Ханкайском муниципальном округе"</t>
  </si>
  <si>
    <t>Муниципальная программа  "Развитие физической культуры и спорта в Ханкайском муниципальном округе" на 2020-2024 годы</t>
  </si>
  <si>
    <t>Основное мероприятие: "Содействие развития физической культуры и спорта в Ханкайском муниципальном округе"</t>
  </si>
  <si>
    <t>Муниципальная программа "Обеспечение жильем молодых семей Ханкайского мунципального округе" на 2020- 2024 годы</t>
  </si>
  <si>
    <t>Муниципальная программа "Социальное развитие села  Ханкайского муниципального округе" на 2020-2024 годы</t>
  </si>
  <si>
    <t>Муниципальная программа "Развитие культуры и туризма в Ханкайском муниципальном округе"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</si>
  <si>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2020-2024 годы</t>
  </si>
  <si>
    <t>Муниципальная программа "Охрана окружающей среды Ханкайского муниципального округа"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</si>
  <si>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</si>
  <si>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</si>
  <si>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Основное мероприятие "Развитие систем энерго- тепло- газо- и водоснабжения в Ханкайском муниципальном округе"</t>
  </si>
  <si>
    <t>Муниципальная программа "Развитие систем жилищно-коммунальной инфраструктуры  в Ханкайском муниципальном округе" на 2020-2024 годы</t>
  </si>
  <si>
    <t>Основное мероприятие: "Развитие систем энерго- тепло- газо- водоснабжения в Ханкайском муниципальном округе" на 2020-2024 годы</t>
  </si>
  <si>
    <t>Муниципальная программа "Управление муниципальным имуществом  в Ханкайском муниципальном округе" на 2020-2024 годы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</si>
  <si>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</si>
  <si>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 xml:space="preserve">Муниципальная программа "Развитие малого и среднего предпринимательства в Ханкайском муниципальном округе" на 2020-2024 годы 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</si>
  <si>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</si>
  <si>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Муниципальная программа "Управление муниципальным имуществом в Ханкайском муниципальном округе" на 2020-2024 годы</t>
  </si>
  <si>
    <t>Муниципальная программа "Доступная среда в Ханкайском муниципальном округе" на 2020-2024 годы</t>
  </si>
  <si>
    <t>Муниципальная программа "Развитие муниципальной службы в  Ханкайском муниципальном округе" на 2020-2024 годы</t>
  </si>
  <si>
    <t>Основное мероприятие "Совершенствование деятельности муниципальной службы в Ханкайском муниципальном округе"</t>
  </si>
  <si>
    <t>Муниципальная программа "Социальное развитие села  Ханкайского муниципального округа" на 2020-2024 годы</t>
  </si>
  <si>
    <t>Муниципальная программа "Обеспечение жильем молодых семей Ханкайского мунципального округа" на 2020- 2024 годы</t>
  </si>
  <si>
    <t xml:space="preserve">Муниципальная программа "Развитие малого и среднего предпринимательства в Ханкайском муниципальном округе на 2020-2024 годы </t>
  </si>
  <si>
    <t>Муниципальная программа "Охрана окружающей среды Ханкайского муниципального округаа"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</si>
  <si>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</si>
  <si>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Ханкайского муниципального округа" на 2020-2024 годы</t>
  </si>
  <si>
    <t>Муниципальная программа "Социальное развитие села Ханкайского муниципального округа" на 2020-2024 годы</t>
  </si>
  <si>
    <t>Муниципальная программа "Развитие культуры и туризма в Ханкайском муниципальном окурге" на 2020-2024 годы</t>
  </si>
  <si>
    <t>Подпрограмма "Развитие системы общего образования в  Ханкайском муниципальном округе" на  2020-2024 годы</t>
  </si>
  <si>
    <t>Муниципальная программа "Развитие культуры и туризма в Ханкайском муниципальном округе»"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</si>
  <si>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округа" </t>
  </si>
  <si>
    <t>Муниципальная программа "Развитие физической культуры  и спорта в Ханкайском муниципальном округе"  на 2020-2024 годы</t>
  </si>
  <si>
    <t>Основное мероприятие: "Развитие систем энерго- тепло- газо- и водоснабжения в Ханкайском муниципальтном округе"</t>
  </si>
  <si>
    <t>Муниципальная программа "Обеспечение жильем молодых семей Ханкайского муниципального округа"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</si>
  <si>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</si>
  <si>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Ханкайском муниципальном округе» на 2020-2024 годы</t>
  </si>
  <si>
    <t>Муниципальная программа "Развитие информационного общества в Ханкайском муниципальном округее"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</si>
  <si>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округаа" на 2020-2024 годы</t>
  </si>
  <si>
    <t>02923R2990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</si>
  <si>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</si>
  <si>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
 на 2019 - 2024 годы"</t>
  </si>
  <si>
    <t>18958S2360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</si>
  <si>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</si>
  <si>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</si>
  <si>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</si>
  <si>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</si>
  <si>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</si>
  <si>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</si>
  <si>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</si>
  <si>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</si>
  <si>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</si>
  <si>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</si>
  <si>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</si>
  <si>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</si>
  <si>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</si>
  <si>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</si>
  <si>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</si>
  <si>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</si>
  <si>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1700000</t>
  </si>
  <si>
    <t>1800000</t>
  </si>
  <si>
    <t>1900000</t>
  </si>
  <si>
    <t>9900000</t>
  </si>
  <si>
    <t>1600000</t>
  </si>
  <si>
    <t>публ норм</t>
  </si>
  <si>
    <t xml:space="preserve">бюджетных ассигнований из бюджета Ханкайского муниципального округа на 2023-2024 годы год в </t>
  </si>
  <si>
    <t>ведомственной структуре расходов бюджета Ханкайского муниципального округа</t>
  </si>
  <si>
    <t>к решению Думы Ханкайского</t>
  </si>
  <si>
    <t>к решению Думы</t>
  </si>
  <si>
    <t>к  решению Думы</t>
  </si>
  <si>
    <t>к  решению Думы Ханкайского</t>
  </si>
  <si>
    <t>от 23.12.2021 №301</t>
  </si>
  <si>
    <t>от  23.12.2021 № 301</t>
  </si>
  <si>
    <t>от  23.12.2021   № 301</t>
  </si>
  <si>
    <t>от 23.12.2021 № 301</t>
  </si>
  <si>
    <t>2 02 25299 14 0000 150</t>
  </si>
  <si>
    <t>02923L2990</t>
  </si>
  <si>
    <t>муниципального округа</t>
  </si>
  <si>
    <t>15963L2990</t>
  </si>
  <si>
    <t>Содержание и обслуживание муниципальных объектов культуры</t>
  </si>
  <si>
    <t>Расходы на содержание и обслуживание муниципальных объектов культуры</t>
  </si>
  <si>
    <t>от 25.01.2022  № 315</t>
  </si>
  <si>
    <t>от 25.01.2022 № 315</t>
  </si>
  <si>
    <t>от 23.12.2022 № 301</t>
  </si>
  <si>
    <t>от 25. 01.2022 № 315</t>
  </si>
  <si>
    <t>Приложение  2</t>
  </si>
  <si>
    <t>Приложение  3</t>
  </si>
  <si>
    <t>Приложение  4</t>
  </si>
  <si>
    <t>Приложение  5</t>
  </si>
  <si>
    <t>Приложение  6</t>
  </si>
  <si>
    <t>Приложение  7</t>
  </si>
  <si>
    <t>Приложение  8</t>
  </si>
  <si>
    <t>Приложение  9</t>
  </si>
  <si>
    <t>Приложение  10</t>
  </si>
  <si>
    <t>Приложение  12</t>
  </si>
</sst>
</file>

<file path=xl/styles.xml><?xml version="1.0" encoding="utf-8"?>
<styleSheet xmlns="http://schemas.openxmlformats.org/spreadsheetml/2006/main">
  <numFmts count="1">
    <numFmt numFmtId="164" formatCode="#,##0.000"/>
  </numFmts>
  <fonts count="2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8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7" fillId="5" borderId="8">
      <alignment vertical="top" wrapText="1"/>
    </xf>
  </cellStyleXfs>
  <cellXfs count="37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19" fillId="2" borderId="0" xfId="0" applyFont="1" applyFill="1"/>
    <xf numFmtId="0" fontId="14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4" fontId="11" fillId="0" borderId="0" xfId="0" applyNumberFormat="1" applyFont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21" fillId="4" borderId="0" xfId="0" applyNumberFormat="1" applyFont="1" applyFill="1" applyAlignment="1">
      <alignment vertical="top"/>
    </xf>
    <xf numFmtId="4" fontId="22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3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3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" fontId="9" fillId="0" borderId="1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vertical="top" shrinkToFi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2" fillId="4" borderId="0" xfId="0" applyFont="1" applyFill="1"/>
    <xf numFmtId="16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vertical="top" wrapText="1"/>
    </xf>
    <xf numFmtId="0" fontId="9" fillId="0" borderId="0" xfId="0" applyFont="1" applyFill="1"/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shrinkToFit="1"/>
    </xf>
    <xf numFmtId="49" fontId="10" fillId="0" borderId="6" xfId="0" applyNumberFormat="1" applyFont="1" applyFill="1" applyBorder="1" applyAlignment="1">
      <alignment horizontal="center" vertical="top" shrinkToFit="1"/>
    </xf>
    <xf numFmtId="4" fontId="10" fillId="0" borderId="6" xfId="0" applyNumberFormat="1" applyFont="1" applyFill="1" applyBorder="1" applyAlignment="1">
      <alignment horizontal="right" vertical="top" shrinkToFit="1"/>
    </xf>
    <xf numFmtId="4" fontId="6" fillId="0" borderId="6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top" shrinkToFit="1"/>
    </xf>
    <xf numFmtId="49" fontId="14" fillId="0" borderId="6" xfId="0" applyNumberFormat="1" applyFont="1" applyFill="1" applyBorder="1" applyAlignment="1">
      <alignment horizontal="center" vertical="top" shrinkToFit="1"/>
    </xf>
    <xf numFmtId="4" fontId="14" fillId="0" borderId="6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17" fillId="0" borderId="6" xfId="0" applyNumberFormat="1" applyFont="1" applyFill="1" applyBorder="1" applyAlignment="1">
      <alignment horizontal="right" vertical="top"/>
    </xf>
    <xf numFmtId="0" fontId="7" fillId="0" borderId="3" xfId="0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vertical="top" wrapText="1"/>
    </xf>
    <xf numFmtId="4" fontId="17" fillId="0" borderId="6" xfId="0" applyNumberFormat="1" applyFont="1" applyFill="1" applyBorder="1" applyAlignment="1">
      <alignment horizontal="right" vertical="top" shrinkToFit="1"/>
    </xf>
    <xf numFmtId="0" fontId="17" fillId="0" borderId="1" xfId="0" applyFon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4" fontId="17" fillId="0" borderId="6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4" fontId="6" fillId="0" borderId="6" xfId="0" applyNumberFormat="1" applyFont="1" applyFill="1" applyBorder="1"/>
    <xf numFmtId="4" fontId="10" fillId="0" borderId="1" xfId="0" applyNumberFormat="1" applyFont="1" applyFill="1" applyBorder="1" applyAlignment="1">
      <alignment horizontal="right" vertical="top" shrinkToFit="1"/>
    </xf>
    <xf numFmtId="4" fontId="18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vertical="top"/>
    </xf>
    <xf numFmtId="4" fontId="17" fillId="0" borderId="1" xfId="0" applyNumberFormat="1" applyFont="1" applyFill="1" applyBorder="1" applyAlignment="1">
      <alignment horizontal="right" vertical="top" shrinkToFit="1"/>
    </xf>
    <xf numFmtId="4" fontId="1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14" fillId="0" borderId="1" xfId="0" quotePrefix="1" applyNumberFormat="1" applyFont="1" applyFill="1" applyBorder="1" applyAlignment="1">
      <alignment horizontal="right" vertical="top" shrinkToFit="1"/>
    </xf>
    <xf numFmtId="4" fontId="14" fillId="0" borderId="6" xfId="0" quotePrefix="1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0" fontId="24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top" shrinkToFit="1"/>
    </xf>
    <xf numFmtId="4" fontId="6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4" fontId="21" fillId="2" borderId="0" xfId="0" applyNumberFormat="1" applyFont="1" applyFill="1" applyAlignment="1">
      <alignment wrapText="1"/>
    </xf>
    <xf numFmtId="0" fontId="21" fillId="2" borderId="0" xfId="0" applyFont="1" applyFill="1" applyAlignment="1">
      <alignment wrapText="1"/>
    </xf>
    <xf numFmtId="0" fontId="18" fillId="0" borderId="5" xfId="0" applyFont="1" applyFill="1" applyBorder="1" applyAlignment="1">
      <alignment vertical="center" wrapText="1"/>
    </xf>
    <xf numFmtId="0" fontId="26" fillId="3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2" fillId="2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9" fontId="2" fillId="0" borderId="0" xfId="0" applyNumberFormat="1" applyFont="1" applyFill="1"/>
    <xf numFmtId="0" fontId="2" fillId="2" borderId="0" xfId="0" applyFont="1" applyFill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/>
    </xf>
    <xf numFmtId="2" fontId="7" fillId="2" borderId="0" xfId="0" applyNumberFormat="1" applyFont="1" applyFill="1"/>
    <xf numFmtId="0" fontId="8" fillId="0" borderId="5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4" fontId="2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/>
    <xf numFmtId="0" fontId="6" fillId="0" borderId="0" xfId="0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right" vertical="top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3" fillId="0" borderId="0" xfId="0" applyFont="1" applyFill="1"/>
    <xf numFmtId="4" fontId="15" fillId="0" borderId="0" xfId="0" applyNumberFormat="1" applyFont="1" applyFill="1"/>
    <xf numFmtId="0" fontId="15" fillId="0" borderId="0" xfId="0" applyFont="1" applyFill="1"/>
    <xf numFmtId="4" fontId="3" fillId="0" borderId="0" xfId="0" applyNumberFormat="1" applyFont="1" applyFill="1" applyAlignment="1">
      <alignment horizontal="right" vertical="top"/>
    </xf>
    <xf numFmtId="0" fontId="2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/>
    </xf>
    <xf numFmtId="0" fontId="6" fillId="0" borderId="1" xfId="0" applyFont="1" applyFill="1" applyBorder="1"/>
    <xf numFmtId="49" fontId="6" fillId="0" borderId="1" xfId="0" applyNumberFormat="1" applyFont="1" applyFill="1" applyBorder="1"/>
    <xf numFmtId="49" fontId="6" fillId="0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 applyFill="1" applyAlignment="1">
      <alignment vertical="top"/>
    </xf>
    <xf numFmtId="4" fontId="22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4" fontId="17" fillId="0" borderId="0" xfId="0" applyNumberFormat="1" applyFont="1" applyFill="1"/>
    <xf numFmtId="49" fontId="4" fillId="0" borderId="0" xfId="0" applyNumberFormat="1" applyFont="1" applyFill="1"/>
    <xf numFmtId="4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>
      <alignment horizontal="right" wrapText="1"/>
    </xf>
    <xf numFmtId="0" fontId="16" fillId="0" borderId="0" xfId="0" applyFont="1" applyFill="1"/>
    <xf numFmtId="4" fontId="10" fillId="0" borderId="2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/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49" fontId="7" fillId="0" borderId="0" xfId="0" applyNumberFormat="1" applyFont="1" applyFill="1"/>
    <xf numFmtId="4" fontId="7" fillId="0" borderId="0" xfId="0" applyNumberFormat="1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/>
    <xf numFmtId="0" fontId="7" fillId="0" borderId="0" xfId="0" applyFont="1" applyFill="1" applyBorder="1"/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4" fontId="2" fillId="0" borderId="0" xfId="0" applyNumberFormat="1" applyFont="1" applyFill="1" applyAlignment="1">
      <alignment vertical="top"/>
    </xf>
    <xf numFmtId="0" fontId="12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vertical="top" shrinkToFit="1"/>
    </xf>
    <xf numFmtId="0" fontId="12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4" fontId="15" fillId="0" borderId="0" xfId="0" applyNumberFormat="1" applyFont="1" applyFill="1" applyAlignment="1">
      <alignment vertical="top"/>
    </xf>
    <xf numFmtId="0" fontId="8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vertical="center" wrapText="1"/>
    </xf>
    <xf numFmtId="4" fontId="25" fillId="0" borderId="0" xfId="0" applyNumberFormat="1" applyFont="1" applyFill="1"/>
    <xf numFmtId="49" fontId="25" fillId="0" borderId="0" xfId="0" applyNumberFormat="1" applyFont="1" applyFill="1"/>
    <xf numFmtId="4" fontId="21" fillId="0" borderId="0" xfId="0" applyNumberFormat="1" applyFont="1" applyFill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/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right" wrapText="1"/>
    </xf>
    <xf numFmtId="4" fontId="6" fillId="4" borderId="1" xfId="0" applyNumberFormat="1" applyFon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vertical="top" shrinkToFit="1"/>
    </xf>
    <xf numFmtId="0" fontId="8" fillId="4" borderId="1" xfId="0" applyFont="1" applyFill="1" applyBorder="1" applyAlignment="1">
      <alignment vertical="top" wrapText="1"/>
    </xf>
    <xf numFmtId="4" fontId="14" fillId="4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1" xfId="0" applyFont="1" applyFill="1" applyBorder="1"/>
    <xf numFmtId="0" fontId="15" fillId="0" borderId="1" xfId="0" applyFont="1" applyFill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14" fillId="6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4" fontId="11" fillId="0" borderId="0" xfId="0" applyNumberFormat="1" applyFont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</cellXfs>
  <cellStyles count="2">
    <cellStyle name="xl39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912"/>
  <sheetViews>
    <sheetView view="pageBreakPreview" zoomScale="106" zoomScaleNormal="100" zoomScaleSheetLayoutView="106" workbookViewId="0">
      <selection activeCell="C1" sqref="C1"/>
    </sheetView>
  </sheetViews>
  <sheetFormatPr defaultRowHeight="18"/>
  <cols>
    <col min="1" max="1" width="30.88671875" style="14" customWidth="1"/>
    <col min="2" max="2" width="48.6640625" style="14" customWidth="1"/>
    <col min="3" max="3" width="21.33203125" style="14" customWidth="1"/>
    <col min="4" max="256" width="9.109375" style="7"/>
    <col min="257" max="257" width="26.88671875" style="7" customWidth="1"/>
    <col min="258" max="258" width="40.44140625" style="7" customWidth="1"/>
    <col min="259" max="259" width="13.4414062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4414062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4414062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4414062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4414062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4414062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4414062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4414062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4414062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4414062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4414062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4414062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4414062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4414062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4414062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4414062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4414062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4414062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4414062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4414062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4414062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4414062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4414062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4414062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4414062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4414062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4414062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4414062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4414062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4414062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4414062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4414062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4414062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4414062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4414062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4414062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4414062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4414062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4414062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4414062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4414062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4414062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4414062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4414062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4414062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4414062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4414062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4414062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4414062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4414062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4414062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4414062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4414062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4414062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4414062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4414062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4414062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4414062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4414062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4414062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4414062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4414062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44140625" style="7" customWidth="1"/>
    <col min="16132" max="16384" width="9.109375" style="7"/>
  </cols>
  <sheetData>
    <row r="1" spans="1:3">
      <c r="C1" s="345" t="s">
        <v>236</v>
      </c>
    </row>
    <row r="2" spans="1:3">
      <c r="B2" s="350" t="s">
        <v>933</v>
      </c>
      <c r="C2" s="350"/>
    </row>
    <row r="3" spans="1:3">
      <c r="B3" s="350" t="s">
        <v>940</v>
      </c>
      <c r="C3" s="350"/>
    </row>
    <row r="4" spans="1:3">
      <c r="B4" s="350" t="s">
        <v>944</v>
      </c>
      <c r="C4" s="350"/>
    </row>
    <row r="5" spans="1:3">
      <c r="C5" s="73" t="s">
        <v>236</v>
      </c>
    </row>
    <row r="6" spans="1:3">
      <c r="C6" s="73" t="s">
        <v>930</v>
      </c>
    </row>
    <row r="7" spans="1:3">
      <c r="C7" s="73" t="s">
        <v>664</v>
      </c>
    </row>
    <row r="8" spans="1:3">
      <c r="C8" s="73" t="s">
        <v>935</v>
      </c>
    </row>
    <row r="9" spans="1:3">
      <c r="C9" s="73"/>
    </row>
    <row r="10" spans="1:3" s="8" customFormat="1" ht="17.399999999999999">
      <c r="A10" s="349" t="s">
        <v>157</v>
      </c>
      <c r="B10" s="349"/>
      <c r="C10" s="349"/>
    </row>
    <row r="11" spans="1:3" ht="37.5" customHeight="1">
      <c r="A11" s="348" t="s">
        <v>784</v>
      </c>
      <c r="B11" s="348"/>
      <c r="C11" s="348"/>
    </row>
    <row r="12" spans="1:3">
      <c r="A12" s="15"/>
      <c r="B12" s="15"/>
      <c r="C12" s="15"/>
    </row>
    <row r="13" spans="1:3">
      <c r="A13" s="73" t="s">
        <v>158</v>
      </c>
      <c r="B13" s="136"/>
      <c r="C13" s="16"/>
    </row>
    <row r="14" spans="1:3">
      <c r="A14" s="73"/>
      <c r="C14" s="73" t="s">
        <v>408</v>
      </c>
    </row>
    <row r="15" spans="1:3" ht="54">
      <c r="A15" s="138" t="s">
        <v>159</v>
      </c>
      <c r="B15" s="138" t="s">
        <v>160</v>
      </c>
      <c r="C15" s="138" t="s">
        <v>239</v>
      </c>
    </row>
    <row r="16" spans="1:3" ht="36">
      <c r="A16" s="17" t="s">
        <v>161</v>
      </c>
      <c r="B16" s="18" t="s">
        <v>162</v>
      </c>
      <c r="C16" s="86">
        <f>C17+C18</f>
        <v>16064380.279999971</v>
      </c>
    </row>
    <row r="17" spans="1:3" ht="54">
      <c r="A17" s="17" t="s">
        <v>674</v>
      </c>
      <c r="B17" s="18" t="s">
        <v>727</v>
      </c>
      <c r="C17" s="86">
        <f>-'прил 7'!C70</f>
        <v>-944271106.1400001</v>
      </c>
    </row>
    <row r="18" spans="1:3" ht="54">
      <c r="A18" s="17" t="s">
        <v>675</v>
      </c>
      <c r="B18" s="18" t="s">
        <v>728</v>
      </c>
      <c r="C18" s="86">
        <f>'прил 11 '!F687</f>
        <v>960335486.42000008</v>
      </c>
    </row>
    <row r="19" spans="1:3">
      <c r="A19" s="17"/>
      <c r="B19" s="19" t="s">
        <v>163</v>
      </c>
      <c r="C19" s="108">
        <f>C16</f>
        <v>16064380.279999971</v>
      </c>
    </row>
    <row r="20" spans="1:3">
      <c r="A20" s="20"/>
      <c r="B20" s="20"/>
      <c r="C20" s="20"/>
    </row>
    <row r="21" spans="1:3">
      <c r="A21" s="20"/>
      <c r="B21" s="20"/>
      <c r="C21" s="20"/>
    </row>
    <row r="22" spans="1:3">
      <c r="A22" s="20"/>
      <c r="B22" s="20"/>
      <c r="C22" s="20"/>
    </row>
    <row r="23" spans="1:3">
      <c r="A23" s="20"/>
      <c r="B23" s="20"/>
      <c r="C23" s="20"/>
    </row>
    <row r="24" spans="1:3">
      <c r="A24" s="20"/>
      <c r="B24" s="20"/>
      <c r="C24" s="20"/>
    </row>
    <row r="25" spans="1:3">
      <c r="A25" s="20"/>
      <c r="B25" s="20"/>
      <c r="C25" s="20"/>
    </row>
    <row r="26" spans="1:3">
      <c r="A26" s="20"/>
      <c r="B26" s="20"/>
      <c r="C26" s="20"/>
    </row>
    <row r="27" spans="1:3">
      <c r="A27" s="20"/>
      <c r="B27" s="20"/>
      <c r="C27" s="20"/>
    </row>
    <row r="28" spans="1:3">
      <c r="A28" s="20"/>
      <c r="B28" s="20"/>
      <c r="C28" s="20"/>
    </row>
    <row r="29" spans="1:3">
      <c r="A29" s="20"/>
      <c r="B29" s="20"/>
      <c r="C29" s="20"/>
    </row>
    <row r="30" spans="1:3">
      <c r="A30" s="20"/>
      <c r="B30" s="20"/>
      <c r="C30" s="20"/>
    </row>
    <row r="31" spans="1:3">
      <c r="A31" s="20"/>
      <c r="B31" s="20"/>
      <c r="C31" s="20"/>
    </row>
    <row r="32" spans="1:3">
      <c r="A32" s="20"/>
      <c r="B32" s="20"/>
      <c r="C32" s="20"/>
    </row>
    <row r="33" spans="1:3">
      <c r="A33" s="20"/>
      <c r="B33" s="20"/>
      <c r="C33" s="20"/>
    </row>
    <row r="34" spans="1:3">
      <c r="A34" s="20"/>
      <c r="B34" s="20"/>
      <c r="C34" s="20"/>
    </row>
    <row r="35" spans="1:3">
      <c r="A35" s="20"/>
      <c r="B35" s="20"/>
      <c r="C35" s="20"/>
    </row>
    <row r="36" spans="1:3">
      <c r="A36" s="20"/>
      <c r="B36" s="20"/>
      <c r="C36" s="20"/>
    </row>
    <row r="37" spans="1:3">
      <c r="A37" s="20"/>
      <c r="B37" s="20"/>
      <c r="C37" s="20"/>
    </row>
    <row r="38" spans="1:3">
      <c r="A38" s="20"/>
      <c r="B38" s="20"/>
      <c r="C38" s="20"/>
    </row>
    <row r="39" spans="1:3">
      <c r="A39" s="20"/>
      <c r="B39" s="20"/>
      <c r="C39" s="20"/>
    </row>
    <row r="40" spans="1:3">
      <c r="A40" s="20"/>
      <c r="B40" s="20"/>
      <c r="C40" s="20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0"/>
      <c r="B46" s="20"/>
      <c r="C46" s="20"/>
    </row>
    <row r="47" spans="1:3">
      <c r="A47" s="20"/>
      <c r="B47" s="20"/>
      <c r="C47" s="20"/>
    </row>
    <row r="48" spans="1:3">
      <c r="A48" s="20"/>
      <c r="B48" s="20"/>
      <c r="C48" s="20"/>
    </row>
    <row r="49" spans="1:3">
      <c r="A49" s="20"/>
      <c r="B49" s="20"/>
      <c r="C49" s="20"/>
    </row>
    <row r="50" spans="1:3">
      <c r="A50" s="20"/>
      <c r="B50" s="20"/>
      <c r="C50" s="20"/>
    </row>
    <row r="51" spans="1:3">
      <c r="A51" s="20"/>
      <c r="B51" s="20"/>
      <c r="C51" s="20"/>
    </row>
    <row r="52" spans="1:3">
      <c r="A52" s="20"/>
      <c r="B52" s="20"/>
      <c r="C52" s="20"/>
    </row>
    <row r="53" spans="1:3">
      <c r="A53" s="20"/>
      <c r="B53" s="20"/>
      <c r="C53" s="20"/>
    </row>
    <row r="54" spans="1:3">
      <c r="A54" s="20"/>
      <c r="B54" s="20"/>
      <c r="C54" s="20"/>
    </row>
    <row r="55" spans="1:3">
      <c r="A55" s="20"/>
      <c r="B55" s="20"/>
      <c r="C55" s="20"/>
    </row>
    <row r="56" spans="1:3">
      <c r="A56" s="20"/>
      <c r="B56" s="20"/>
      <c r="C56" s="20"/>
    </row>
    <row r="57" spans="1:3">
      <c r="A57" s="20"/>
      <c r="B57" s="20"/>
      <c r="C57" s="20"/>
    </row>
    <row r="58" spans="1:3">
      <c r="A58" s="20"/>
      <c r="B58" s="20"/>
      <c r="C58" s="20"/>
    </row>
    <row r="59" spans="1:3">
      <c r="A59" s="20"/>
      <c r="B59" s="20"/>
      <c r="C59" s="20"/>
    </row>
    <row r="60" spans="1:3">
      <c r="A60" s="20"/>
      <c r="B60" s="20"/>
      <c r="C60" s="20"/>
    </row>
    <row r="61" spans="1:3">
      <c r="A61" s="20"/>
      <c r="B61" s="20"/>
      <c r="C61" s="20"/>
    </row>
    <row r="62" spans="1:3">
      <c r="A62" s="20"/>
      <c r="B62" s="20"/>
      <c r="C62" s="20"/>
    </row>
    <row r="63" spans="1:3">
      <c r="A63" s="20"/>
      <c r="B63" s="20"/>
      <c r="C63" s="20"/>
    </row>
    <row r="64" spans="1:3">
      <c r="A64" s="20"/>
      <c r="B64" s="20"/>
      <c r="C64" s="20"/>
    </row>
    <row r="65" spans="1:3">
      <c r="A65" s="20"/>
      <c r="B65" s="20"/>
      <c r="C65" s="20"/>
    </row>
    <row r="66" spans="1:3">
      <c r="A66" s="20"/>
      <c r="B66" s="20"/>
      <c r="C66" s="20"/>
    </row>
    <row r="67" spans="1:3">
      <c r="A67" s="20"/>
      <c r="B67" s="20"/>
      <c r="C67" s="20"/>
    </row>
    <row r="68" spans="1:3">
      <c r="A68" s="20"/>
      <c r="B68" s="20"/>
      <c r="C68" s="20"/>
    </row>
    <row r="69" spans="1:3">
      <c r="A69" s="20"/>
      <c r="B69" s="20"/>
      <c r="C69" s="20"/>
    </row>
    <row r="70" spans="1:3">
      <c r="A70" s="20"/>
      <c r="B70" s="20"/>
      <c r="C70" s="20"/>
    </row>
    <row r="71" spans="1:3">
      <c r="A71" s="20"/>
      <c r="B71" s="20"/>
      <c r="C71" s="20"/>
    </row>
    <row r="72" spans="1:3">
      <c r="A72" s="20"/>
      <c r="B72" s="20"/>
      <c r="C72" s="20"/>
    </row>
    <row r="73" spans="1:3">
      <c r="A73" s="20"/>
      <c r="B73" s="20"/>
      <c r="C73" s="20"/>
    </row>
    <row r="74" spans="1:3">
      <c r="A74" s="20"/>
      <c r="B74" s="20"/>
      <c r="C74" s="20"/>
    </row>
    <row r="75" spans="1:3">
      <c r="A75" s="20"/>
      <c r="B75" s="20"/>
      <c r="C75" s="20"/>
    </row>
    <row r="76" spans="1:3">
      <c r="A76" s="20"/>
      <c r="B76" s="20"/>
      <c r="C76" s="20"/>
    </row>
    <row r="77" spans="1:3">
      <c r="A77" s="20"/>
      <c r="B77" s="20"/>
      <c r="C77" s="20"/>
    </row>
    <row r="78" spans="1:3">
      <c r="A78" s="20"/>
      <c r="B78" s="20"/>
      <c r="C78" s="20"/>
    </row>
    <row r="79" spans="1:3">
      <c r="A79" s="20"/>
      <c r="B79" s="20"/>
      <c r="C79" s="20"/>
    </row>
    <row r="80" spans="1:3">
      <c r="A80" s="20"/>
      <c r="B80" s="20"/>
      <c r="C80" s="20"/>
    </row>
    <row r="81" spans="1:3">
      <c r="A81" s="20"/>
      <c r="B81" s="20"/>
      <c r="C81" s="20"/>
    </row>
    <row r="82" spans="1:3">
      <c r="A82" s="20"/>
      <c r="B82" s="20"/>
      <c r="C82" s="20"/>
    </row>
    <row r="83" spans="1:3">
      <c r="A83" s="20"/>
      <c r="B83" s="20"/>
      <c r="C83" s="20"/>
    </row>
    <row r="84" spans="1:3">
      <c r="A84" s="20"/>
      <c r="B84" s="20"/>
      <c r="C84" s="20"/>
    </row>
    <row r="85" spans="1:3">
      <c r="A85" s="20"/>
      <c r="B85" s="20"/>
      <c r="C85" s="20"/>
    </row>
    <row r="86" spans="1:3">
      <c r="A86" s="20"/>
      <c r="B86" s="20"/>
      <c r="C86" s="20"/>
    </row>
    <row r="87" spans="1:3">
      <c r="A87" s="20"/>
      <c r="B87" s="20"/>
      <c r="C87" s="20"/>
    </row>
    <row r="88" spans="1:3">
      <c r="A88" s="20"/>
      <c r="B88" s="20"/>
      <c r="C88" s="20"/>
    </row>
    <row r="89" spans="1:3">
      <c r="A89" s="20"/>
      <c r="B89" s="20"/>
      <c r="C89" s="20"/>
    </row>
    <row r="90" spans="1:3">
      <c r="A90" s="20"/>
      <c r="B90" s="20"/>
      <c r="C90" s="20"/>
    </row>
    <row r="91" spans="1:3">
      <c r="A91" s="20"/>
      <c r="B91" s="20"/>
      <c r="C91" s="20"/>
    </row>
    <row r="92" spans="1:3">
      <c r="A92" s="20"/>
      <c r="B92" s="20"/>
      <c r="C92" s="20"/>
    </row>
    <row r="93" spans="1:3">
      <c r="A93" s="20"/>
      <c r="B93" s="20"/>
      <c r="C93" s="20"/>
    </row>
    <row r="94" spans="1:3">
      <c r="A94" s="20"/>
      <c r="B94" s="20"/>
      <c r="C94" s="20"/>
    </row>
    <row r="95" spans="1:3">
      <c r="A95" s="20"/>
      <c r="B95" s="20"/>
      <c r="C95" s="20"/>
    </row>
    <row r="96" spans="1:3">
      <c r="A96" s="20"/>
      <c r="B96" s="20"/>
      <c r="C96" s="20"/>
    </row>
    <row r="97" spans="1:3">
      <c r="A97" s="20"/>
      <c r="B97" s="20"/>
      <c r="C97" s="20"/>
    </row>
    <row r="98" spans="1:3">
      <c r="A98" s="20"/>
      <c r="B98" s="20"/>
      <c r="C98" s="20"/>
    </row>
    <row r="99" spans="1:3">
      <c r="A99" s="20"/>
      <c r="B99" s="20"/>
      <c r="C99" s="20"/>
    </row>
    <row r="100" spans="1:3">
      <c r="A100" s="20"/>
      <c r="B100" s="20"/>
      <c r="C100" s="20"/>
    </row>
    <row r="101" spans="1:3">
      <c r="A101" s="20"/>
      <c r="B101" s="20"/>
      <c r="C101" s="20"/>
    </row>
    <row r="102" spans="1:3">
      <c r="A102" s="20"/>
      <c r="B102" s="20"/>
      <c r="C102" s="20"/>
    </row>
    <row r="103" spans="1:3">
      <c r="A103" s="20"/>
      <c r="B103" s="20"/>
      <c r="C103" s="20"/>
    </row>
    <row r="104" spans="1:3">
      <c r="A104" s="20"/>
      <c r="B104" s="20"/>
      <c r="C104" s="20"/>
    </row>
    <row r="105" spans="1:3">
      <c r="A105" s="20"/>
      <c r="B105" s="20"/>
      <c r="C105" s="20"/>
    </row>
    <row r="106" spans="1:3">
      <c r="A106" s="20"/>
      <c r="B106" s="20"/>
      <c r="C106" s="20"/>
    </row>
    <row r="107" spans="1:3">
      <c r="A107" s="20"/>
      <c r="B107" s="20"/>
      <c r="C107" s="20"/>
    </row>
    <row r="108" spans="1:3">
      <c r="A108" s="20"/>
      <c r="B108" s="20"/>
      <c r="C108" s="20"/>
    </row>
    <row r="109" spans="1:3">
      <c r="A109" s="20"/>
      <c r="B109" s="20"/>
      <c r="C109" s="20"/>
    </row>
    <row r="110" spans="1:3">
      <c r="A110" s="20"/>
      <c r="B110" s="20"/>
      <c r="C110" s="20"/>
    </row>
    <row r="111" spans="1:3">
      <c r="A111" s="20"/>
      <c r="B111" s="20"/>
      <c r="C111" s="20"/>
    </row>
    <row r="112" spans="1:3">
      <c r="A112" s="20"/>
      <c r="B112" s="20"/>
      <c r="C112" s="20"/>
    </row>
    <row r="113" spans="1:3">
      <c r="A113" s="20"/>
      <c r="B113" s="20"/>
      <c r="C113" s="20"/>
    </row>
    <row r="114" spans="1:3">
      <c r="A114" s="20"/>
      <c r="B114" s="20"/>
      <c r="C114" s="20"/>
    </row>
    <row r="115" spans="1:3">
      <c r="A115" s="20"/>
      <c r="B115" s="20"/>
      <c r="C115" s="20"/>
    </row>
    <row r="116" spans="1:3">
      <c r="A116" s="20"/>
      <c r="B116" s="20"/>
      <c r="C116" s="20"/>
    </row>
    <row r="117" spans="1:3">
      <c r="A117" s="20"/>
      <c r="B117" s="20"/>
      <c r="C117" s="20"/>
    </row>
    <row r="118" spans="1:3">
      <c r="A118" s="20"/>
      <c r="B118" s="20"/>
      <c r="C118" s="20"/>
    </row>
    <row r="119" spans="1:3">
      <c r="A119" s="20"/>
      <c r="B119" s="20"/>
      <c r="C119" s="20"/>
    </row>
    <row r="120" spans="1:3">
      <c r="A120" s="20"/>
      <c r="B120" s="20"/>
      <c r="C120" s="20"/>
    </row>
    <row r="121" spans="1:3">
      <c r="A121" s="20"/>
      <c r="B121" s="20"/>
      <c r="C121" s="20"/>
    </row>
    <row r="122" spans="1:3">
      <c r="A122" s="20"/>
      <c r="B122" s="20"/>
      <c r="C122" s="20"/>
    </row>
    <row r="123" spans="1:3">
      <c r="A123" s="20"/>
      <c r="B123" s="20"/>
      <c r="C123" s="20"/>
    </row>
    <row r="124" spans="1:3">
      <c r="A124" s="20"/>
      <c r="B124" s="20"/>
      <c r="C124" s="20"/>
    </row>
    <row r="125" spans="1:3">
      <c r="A125" s="20"/>
      <c r="B125" s="20"/>
      <c r="C125" s="20"/>
    </row>
    <row r="126" spans="1:3">
      <c r="A126" s="20"/>
      <c r="B126" s="20"/>
      <c r="C126" s="20"/>
    </row>
    <row r="127" spans="1:3">
      <c r="A127" s="20"/>
      <c r="B127" s="20"/>
      <c r="C127" s="20"/>
    </row>
    <row r="128" spans="1:3">
      <c r="A128" s="20"/>
      <c r="B128" s="20"/>
      <c r="C128" s="20"/>
    </row>
    <row r="129" spans="1:3">
      <c r="A129" s="20"/>
      <c r="B129" s="20"/>
      <c r="C129" s="20"/>
    </row>
    <row r="130" spans="1:3">
      <c r="A130" s="20"/>
      <c r="B130" s="20"/>
      <c r="C130" s="20"/>
    </row>
    <row r="131" spans="1:3">
      <c r="A131" s="20"/>
      <c r="B131" s="20"/>
      <c r="C131" s="20"/>
    </row>
    <row r="132" spans="1:3">
      <c r="A132" s="20"/>
      <c r="B132" s="20"/>
      <c r="C132" s="20"/>
    </row>
    <row r="133" spans="1:3">
      <c r="A133" s="20"/>
      <c r="B133" s="20"/>
      <c r="C133" s="20"/>
    </row>
    <row r="134" spans="1:3">
      <c r="A134" s="20"/>
      <c r="B134" s="20"/>
      <c r="C134" s="20"/>
    </row>
    <row r="135" spans="1:3">
      <c r="A135" s="20"/>
      <c r="B135" s="20"/>
      <c r="C135" s="20"/>
    </row>
    <row r="136" spans="1:3">
      <c r="A136" s="20"/>
      <c r="B136" s="20"/>
      <c r="C136" s="20"/>
    </row>
    <row r="137" spans="1:3">
      <c r="A137" s="20"/>
      <c r="B137" s="20"/>
      <c r="C137" s="20"/>
    </row>
    <row r="138" spans="1:3">
      <c r="A138" s="20"/>
      <c r="B138" s="20"/>
      <c r="C138" s="20"/>
    </row>
    <row r="139" spans="1:3">
      <c r="A139" s="20"/>
      <c r="B139" s="20"/>
      <c r="C139" s="20"/>
    </row>
    <row r="140" spans="1:3">
      <c r="A140" s="20"/>
      <c r="B140" s="20"/>
      <c r="C140" s="20"/>
    </row>
    <row r="141" spans="1:3">
      <c r="A141" s="20"/>
      <c r="B141" s="20"/>
      <c r="C141" s="20"/>
    </row>
    <row r="142" spans="1:3">
      <c r="A142" s="20"/>
      <c r="B142" s="20"/>
      <c r="C142" s="20"/>
    </row>
    <row r="143" spans="1:3">
      <c r="A143" s="20"/>
      <c r="B143" s="20"/>
      <c r="C143" s="20"/>
    </row>
    <row r="144" spans="1:3">
      <c r="A144" s="20"/>
      <c r="B144" s="20"/>
      <c r="C144" s="20"/>
    </row>
    <row r="145" spans="1:3">
      <c r="A145" s="20"/>
      <c r="B145" s="20"/>
      <c r="C145" s="20"/>
    </row>
    <row r="146" spans="1:3">
      <c r="A146" s="20"/>
      <c r="B146" s="20"/>
      <c r="C146" s="20"/>
    </row>
    <row r="147" spans="1:3">
      <c r="A147" s="20"/>
      <c r="B147" s="20"/>
      <c r="C147" s="20"/>
    </row>
    <row r="148" spans="1:3">
      <c r="A148" s="20"/>
      <c r="B148" s="20"/>
      <c r="C148" s="20"/>
    </row>
    <row r="149" spans="1:3">
      <c r="A149" s="20"/>
      <c r="B149" s="20"/>
      <c r="C149" s="20"/>
    </row>
    <row r="150" spans="1:3">
      <c r="A150" s="20"/>
      <c r="B150" s="20"/>
      <c r="C150" s="20"/>
    </row>
    <row r="151" spans="1:3">
      <c r="A151" s="20"/>
      <c r="B151" s="20"/>
      <c r="C151" s="20"/>
    </row>
    <row r="152" spans="1:3">
      <c r="A152" s="20"/>
      <c r="B152" s="20"/>
      <c r="C152" s="20"/>
    </row>
    <row r="153" spans="1:3">
      <c r="A153" s="20"/>
      <c r="B153" s="20"/>
      <c r="C153" s="20"/>
    </row>
    <row r="154" spans="1:3">
      <c r="A154" s="20"/>
      <c r="B154" s="20"/>
      <c r="C154" s="20"/>
    </row>
    <row r="155" spans="1:3">
      <c r="A155" s="20"/>
      <c r="B155" s="20"/>
      <c r="C155" s="20"/>
    </row>
    <row r="156" spans="1:3">
      <c r="A156" s="20"/>
      <c r="B156" s="20"/>
      <c r="C156" s="20"/>
    </row>
    <row r="157" spans="1:3">
      <c r="A157" s="20"/>
      <c r="B157" s="20"/>
      <c r="C157" s="20"/>
    </row>
    <row r="158" spans="1:3">
      <c r="A158" s="20"/>
      <c r="B158" s="20"/>
      <c r="C158" s="20"/>
    </row>
    <row r="159" spans="1:3">
      <c r="A159" s="20"/>
      <c r="B159" s="20"/>
      <c r="C159" s="20"/>
    </row>
    <row r="160" spans="1:3">
      <c r="A160" s="20"/>
      <c r="B160" s="20"/>
      <c r="C160" s="20"/>
    </row>
    <row r="161" spans="1:3">
      <c r="A161" s="20"/>
      <c r="B161" s="20"/>
      <c r="C161" s="20"/>
    </row>
    <row r="162" spans="1:3">
      <c r="A162" s="20"/>
      <c r="B162" s="20"/>
      <c r="C162" s="20"/>
    </row>
    <row r="163" spans="1:3">
      <c r="A163" s="20"/>
      <c r="B163" s="20"/>
      <c r="C163" s="20"/>
    </row>
    <row r="164" spans="1:3">
      <c r="A164" s="20"/>
      <c r="B164" s="20"/>
      <c r="C164" s="20"/>
    </row>
    <row r="165" spans="1:3">
      <c r="A165" s="20"/>
      <c r="B165" s="20"/>
      <c r="C165" s="20"/>
    </row>
    <row r="166" spans="1:3">
      <c r="A166" s="20"/>
      <c r="B166" s="20"/>
      <c r="C166" s="20"/>
    </row>
    <row r="167" spans="1:3">
      <c r="A167" s="20"/>
      <c r="B167" s="20"/>
      <c r="C167" s="20"/>
    </row>
    <row r="168" spans="1:3">
      <c r="A168" s="20"/>
      <c r="B168" s="20"/>
      <c r="C168" s="20"/>
    </row>
    <row r="169" spans="1:3">
      <c r="A169" s="20"/>
      <c r="B169" s="20"/>
      <c r="C169" s="20"/>
    </row>
    <row r="170" spans="1:3">
      <c r="A170" s="20"/>
      <c r="B170" s="20"/>
      <c r="C170" s="20"/>
    </row>
    <row r="171" spans="1:3">
      <c r="A171" s="20"/>
      <c r="B171" s="20"/>
      <c r="C171" s="20"/>
    </row>
    <row r="172" spans="1:3">
      <c r="A172" s="20"/>
      <c r="B172" s="20"/>
      <c r="C172" s="20"/>
    </row>
    <row r="173" spans="1:3">
      <c r="A173" s="20"/>
      <c r="B173" s="20"/>
      <c r="C173" s="20"/>
    </row>
    <row r="174" spans="1:3">
      <c r="A174" s="20"/>
      <c r="B174" s="20"/>
      <c r="C174" s="20"/>
    </row>
    <row r="175" spans="1:3">
      <c r="A175" s="20"/>
      <c r="B175" s="20"/>
      <c r="C175" s="20"/>
    </row>
    <row r="176" spans="1:3">
      <c r="A176" s="20"/>
      <c r="B176" s="20"/>
      <c r="C176" s="20"/>
    </row>
    <row r="177" spans="1:3">
      <c r="A177" s="20"/>
      <c r="B177" s="20"/>
      <c r="C177" s="20"/>
    </row>
    <row r="178" spans="1:3">
      <c r="A178" s="20"/>
      <c r="B178" s="20"/>
      <c r="C178" s="20"/>
    </row>
    <row r="179" spans="1:3">
      <c r="A179" s="20"/>
      <c r="B179" s="20"/>
      <c r="C179" s="20"/>
    </row>
    <row r="180" spans="1:3">
      <c r="A180" s="20"/>
      <c r="B180" s="20"/>
      <c r="C180" s="20"/>
    </row>
    <row r="181" spans="1:3">
      <c r="A181" s="20"/>
      <c r="B181" s="20"/>
      <c r="C181" s="20"/>
    </row>
    <row r="182" spans="1:3">
      <c r="A182" s="20"/>
      <c r="B182" s="20"/>
      <c r="C182" s="20"/>
    </row>
    <row r="183" spans="1:3">
      <c r="A183" s="20"/>
      <c r="B183" s="20"/>
      <c r="C183" s="20"/>
    </row>
    <row r="184" spans="1:3">
      <c r="A184" s="20"/>
      <c r="B184" s="20"/>
      <c r="C184" s="20"/>
    </row>
    <row r="185" spans="1:3">
      <c r="A185" s="20"/>
      <c r="B185" s="20"/>
      <c r="C185" s="20"/>
    </row>
    <row r="186" spans="1:3">
      <c r="A186" s="20"/>
      <c r="B186" s="20"/>
      <c r="C186" s="20"/>
    </row>
    <row r="187" spans="1:3">
      <c r="A187" s="20"/>
      <c r="B187" s="20"/>
      <c r="C187" s="20"/>
    </row>
    <row r="188" spans="1:3">
      <c r="A188" s="20"/>
      <c r="B188" s="20"/>
      <c r="C188" s="20"/>
    </row>
    <row r="189" spans="1:3">
      <c r="A189" s="20"/>
      <c r="B189" s="20"/>
      <c r="C189" s="20"/>
    </row>
    <row r="190" spans="1:3">
      <c r="A190" s="20"/>
      <c r="B190" s="20"/>
      <c r="C190" s="20"/>
    </row>
    <row r="191" spans="1:3">
      <c r="A191" s="20"/>
      <c r="B191" s="20"/>
      <c r="C191" s="20"/>
    </row>
    <row r="192" spans="1:3">
      <c r="A192" s="20"/>
      <c r="B192" s="20"/>
      <c r="C192" s="20"/>
    </row>
    <row r="193" spans="1:3">
      <c r="A193" s="20"/>
      <c r="B193" s="20"/>
      <c r="C193" s="20"/>
    </row>
    <row r="194" spans="1:3">
      <c r="A194" s="20"/>
      <c r="B194" s="20"/>
      <c r="C194" s="20"/>
    </row>
    <row r="195" spans="1:3">
      <c r="A195" s="20"/>
      <c r="B195" s="20"/>
      <c r="C195" s="20"/>
    </row>
    <row r="196" spans="1:3">
      <c r="A196" s="20"/>
      <c r="B196" s="20"/>
      <c r="C196" s="20"/>
    </row>
    <row r="197" spans="1:3">
      <c r="A197" s="20"/>
      <c r="B197" s="20"/>
      <c r="C197" s="20"/>
    </row>
    <row r="198" spans="1:3">
      <c r="A198" s="20"/>
      <c r="B198" s="20"/>
      <c r="C198" s="20"/>
    </row>
    <row r="199" spans="1:3">
      <c r="A199" s="20"/>
      <c r="B199" s="20"/>
      <c r="C199" s="20"/>
    </row>
    <row r="200" spans="1:3">
      <c r="A200" s="20"/>
      <c r="B200" s="20"/>
      <c r="C200" s="20"/>
    </row>
    <row r="201" spans="1:3">
      <c r="A201" s="20"/>
      <c r="B201" s="20"/>
      <c r="C201" s="20"/>
    </row>
    <row r="202" spans="1:3">
      <c r="A202" s="20"/>
      <c r="B202" s="20"/>
      <c r="C202" s="20"/>
    </row>
    <row r="203" spans="1:3">
      <c r="A203" s="20"/>
      <c r="B203" s="20"/>
      <c r="C203" s="20"/>
    </row>
    <row r="204" spans="1:3">
      <c r="A204" s="20"/>
      <c r="B204" s="20"/>
      <c r="C204" s="20"/>
    </row>
    <row r="205" spans="1:3">
      <c r="A205" s="20"/>
      <c r="B205" s="20"/>
      <c r="C205" s="20"/>
    </row>
    <row r="206" spans="1:3">
      <c r="A206" s="20"/>
      <c r="B206" s="20"/>
      <c r="C206" s="20"/>
    </row>
    <row r="207" spans="1:3">
      <c r="A207" s="20"/>
      <c r="B207" s="20"/>
      <c r="C207" s="20"/>
    </row>
    <row r="208" spans="1:3">
      <c r="A208" s="20"/>
      <c r="B208" s="20"/>
      <c r="C208" s="20"/>
    </row>
    <row r="209" spans="1:3">
      <c r="A209" s="20"/>
      <c r="B209" s="20"/>
      <c r="C209" s="20"/>
    </row>
    <row r="210" spans="1:3">
      <c r="A210" s="20"/>
      <c r="B210" s="20"/>
      <c r="C210" s="20"/>
    </row>
    <row r="211" spans="1:3">
      <c r="A211" s="20"/>
      <c r="B211" s="20"/>
      <c r="C211" s="20"/>
    </row>
    <row r="212" spans="1:3">
      <c r="A212" s="20"/>
      <c r="B212" s="20"/>
      <c r="C212" s="20"/>
    </row>
    <row r="213" spans="1:3">
      <c r="A213" s="20"/>
      <c r="B213" s="20"/>
      <c r="C213" s="20"/>
    </row>
    <row r="214" spans="1:3">
      <c r="A214" s="20"/>
      <c r="B214" s="20"/>
      <c r="C214" s="20"/>
    </row>
    <row r="215" spans="1:3">
      <c r="A215" s="20"/>
      <c r="B215" s="20"/>
      <c r="C215" s="20"/>
    </row>
    <row r="216" spans="1:3">
      <c r="A216" s="20"/>
      <c r="B216" s="20"/>
      <c r="C216" s="20"/>
    </row>
    <row r="217" spans="1:3">
      <c r="A217" s="20"/>
      <c r="B217" s="20"/>
      <c r="C217" s="20"/>
    </row>
    <row r="218" spans="1:3">
      <c r="A218" s="20"/>
      <c r="B218" s="20"/>
      <c r="C218" s="20"/>
    </row>
    <row r="219" spans="1:3">
      <c r="A219" s="20"/>
      <c r="B219" s="20"/>
      <c r="C219" s="20"/>
    </row>
    <row r="220" spans="1:3">
      <c r="A220" s="20"/>
      <c r="B220" s="20"/>
      <c r="C220" s="20"/>
    </row>
    <row r="221" spans="1:3">
      <c r="A221" s="20"/>
      <c r="B221" s="20"/>
      <c r="C221" s="20"/>
    </row>
    <row r="222" spans="1:3">
      <c r="A222" s="20"/>
      <c r="B222" s="20"/>
      <c r="C222" s="20"/>
    </row>
    <row r="223" spans="1:3">
      <c r="A223" s="20"/>
      <c r="B223" s="20"/>
      <c r="C223" s="20"/>
    </row>
    <row r="224" spans="1:3">
      <c r="A224" s="20"/>
      <c r="B224" s="20"/>
      <c r="C224" s="20"/>
    </row>
    <row r="225" spans="1:3">
      <c r="A225" s="20"/>
      <c r="B225" s="20"/>
      <c r="C225" s="20"/>
    </row>
    <row r="226" spans="1:3">
      <c r="A226" s="20"/>
      <c r="B226" s="20"/>
      <c r="C226" s="20"/>
    </row>
    <row r="227" spans="1:3">
      <c r="A227" s="20"/>
      <c r="B227" s="20"/>
      <c r="C227" s="20"/>
    </row>
    <row r="228" spans="1:3">
      <c r="A228" s="20"/>
      <c r="B228" s="20"/>
      <c r="C228" s="20"/>
    </row>
    <row r="229" spans="1:3">
      <c r="A229" s="20"/>
      <c r="B229" s="20"/>
      <c r="C229" s="20"/>
    </row>
    <row r="230" spans="1:3">
      <c r="A230" s="20"/>
      <c r="B230" s="20"/>
      <c r="C230" s="20"/>
    </row>
    <row r="231" spans="1:3">
      <c r="A231" s="20"/>
      <c r="B231" s="20"/>
      <c r="C231" s="20"/>
    </row>
    <row r="232" spans="1:3">
      <c r="A232" s="20"/>
      <c r="B232" s="20"/>
      <c r="C232" s="20"/>
    </row>
    <row r="233" spans="1:3">
      <c r="A233" s="20"/>
      <c r="B233" s="20"/>
      <c r="C233" s="20"/>
    </row>
    <row r="234" spans="1:3">
      <c r="A234" s="20"/>
      <c r="B234" s="20"/>
      <c r="C234" s="20"/>
    </row>
    <row r="235" spans="1:3">
      <c r="A235" s="20"/>
      <c r="B235" s="20"/>
      <c r="C235" s="20"/>
    </row>
    <row r="236" spans="1:3">
      <c r="A236" s="20"/>
      <c r="B236" s="20"/>
      <c r="C236" s="20"/>
    </row>
    <row r="237" spans="1:3">
      <c r="A237" s="20"/>
      <c r="B237" s="20"/>
      <c r="C237" s="20"/>
    </row>
    <row r="238" spans="1:3">
      <c r="A238" s="20"/>
      <c r="B238" s="20"/>
      <c r="C238" s="20"/>
    </row>
    <row r="239" spans="1:3">
      <c r="A239" s="20"/>
      <c r="B239" s="20"/>
      <c r="C239" s="20"/>
    </row>
    <row r="240" spans="1:3">
      <c r="A240" s="20"/>
      <c r="B240" s="20"/>
      <c r="C240" s="20"/>
    </row>
    <row r="241" spans="1:3">
      <c r="A241" s="20"/>
      <c r="B241" s="20"/>
      <c r="C241" s="20"/>
    </row>
    <row r="242" spans="1:3">
      <c r="A242" s="20"/>
      <c r="B242" s="20"/>
      <c r="C242" s="20"/>
    </row>
    <row r="243" spans="1:3">
      <c r="A243" s="20"/>
      <c r="B243" s="20"/>
      <c r="C243" s="20"/>
    </row>
    <row r="244" spans="1:3">
      <c r="A244" s="20"/>
      <c r="B244" s="20"/>
      <c r="C244" s="20"/>
    </row>
    <row r="245" spans="1:3">
      <c r="A245" s="20"/>
      <c r="B245" s="20"/>
      <c r="C245" s="20"/>
    </row>
    <row r="246" spans="1:3">
      <c r="A246" s="20"/>
      <c r="B246" s="20"/>
      <c r="C246" s="20"/>
    </row>
    <row r="247" spans="1:3">
      <c r="A247" s="20"/>
      <c r="B247" s="20"/>
      <c r="C247" s="20"/>
    </row>
    <row r="248" spans="1:3">
      <c r="A248" s="20"/>
      <c r="B248" s="20"/>
      <c r="C248" s="20"/>
    </row>
    <row r="249" spans="1:3">
      <c r="A249" s="20"/>
      <c r="B249" s="20"/>
      <c r="C249" s="20"/>
    </row>
    <row r="250" spans="1:3">
      <c r="A250" s="20"/>
      <c r="B250" s="20"/>
      <c r="C250" s="20"/>
    </row>
    <row r="251" spans="1:3">
      <c r="A251" s="20"/>
      <c r="B251" s="20"/>
      <c r="C251" s="20"/>
    </row>
    <row r="252" spans="1:3">
      <c r="A252" s="20"/>
      <c r="B252" s="20"/>
      <c r="C252" s="20"/>
    </row>
    <row r="253" spans="1:3">
      <c r="A253" s="20"/>
      <c r="B253" s="20"/>
      <c r="C253" s="20"/>
    </row>
    <row r="254" spans="1:3">
      <c r="A254" s="20"/>
      <c r="B254" s="20"/>
      <c r="C254" s="20"/>
    </row>
    <row r="255" spans="1:3">
      <c r="A255" s="20"/>
      <c r="B255" s="20"/>
      <c r="C255" s="20"/>
    </row>
    <row r="256" spans="1:3">
      <c r="A256" s="20"/>
      <c r="B256" s="20"/>
      <c r="C256" s="20"/>
    </row>
    <row r="257" spans="1:3">
      <c r="A257" s="20"/>
      <c r="B257" s="20"/>
      <c r="C257" s="20"/>
    </row>
    <row r="258" spans="1:3">
      <c r="A258" s="20"/>
      <c r="B258" s="20"/>
      <c r="C258" s="20"/>
    </row>
    <row r="259" spans="1:3">
      <c r="A259" s="20"/>
      <c r="B259" s="20"/>
      <c r="C259" s="20"/>
    </row>
    <row r="260" spans="1:3">
      <c r="A260" s="20"/>
      <c r="B260" s="20"/>
      <c r="C260" s="20"/>
    </row>
    <row r="261" spans="1:3">
      <c r="A261" s="20"/>
      <c r="B261" s="20"/>
      <c r="C261" s="20"/>
    </row>
    <row r="262" spans="1:3">
      <c r="A262" s="20"/>
      <c r="B262" s="20"/>
      <c r="C262" s="20"/>
    </row>
    <row r="263" spans="1:3">
      <c r="A263" s="20"/>
      <c r="B263" s="20"/>
      <c r="C263" s="20"/>
    </row>
    <row r="264" spans="1:3">
      <c r="A264" s="20"/>
      <c r="B264" s="20"/>
      <c r="C264" s="20"/>
    </row>
    <row r="265" spans="1:3">
      <c r="A265" s="20"/>
      <c r="B265" s="20"/>
      <c r="C265" s="20"/>
    </row>
    <row r="266" spans="1:3">
      <c r="A266" s="20"/>
      <c r="B266" s="20"/>
      <c r="C266" s="20"/>
    </row>
    <row r="267" spans="1:3">
      <c r="A267" s="20"/>
      <c r="B267" s="20"/>
      <c r="C267" s="20"/>
    </row>
    <row r="268" spans="1:3">
      <c r="A268" s="20"/>
      <c r="B268" s="20"/>
      <c r="C268" s="20"/>
    </row>
    <row r="269" spans="1:3">
      <c r="A269" s="20"/>
      <c r="B269" s="20"/>
      <c r="C269" s="20"/>
    </row>
    <row r="270" spans="1:3">
      <c r="A270" s="20"/>
      <c r="B270" s="20"/>
      <c r="C270" s="20"/>
    </row>
    <row r="271" spans="1:3">
      <c r="A271" s="20"/>
      <c r="B271" s="20"/>
      <c r="C271" s="20"/>
    </row>
    <row r="272" spans="1:3">
      <c r="A272" s="20"/>
      <c r="B272" s="20"/>
      <c r="C272" s="20"/>
    </row>
    <row r="273" spans="1:3">
      <c r="A273" s="20"/>
      <c r="B273" s="20"/>
      <c r="C273" s="20"/>
    </row>
    <row r="274" spans="1:3">
      <c r="A274" s="20"/>
      <c r="B274" s="20"/>
      <c r="C274" s="20"/>
    </row>
    <row r="275" spans="1:3">
      <c r="A275" s="20"/>
      <c r="B275" s="20"/>
      <c r="C275" s="20"/>
    </row>
    <row r="276" spans="1:3">
      <c r="A276" s="20"/>
      <c r="B276" s="20"/>
      <c r="C276" s="20"/>
    </row>
    <row r="277" spans="1:3">
      <c r="A277" s="20"/>
      <c r="B277" s="20"/>
      <c r="C277" s="20"/>
    </row>
    <row r="278" spans="1:3">
      <c r="A278" s="20"/>
      <c r="B278" s="20"/>
      <c r="C278" s="20"/>
    </row>
    <row r="279" spans="1:3">
      <c r="A279" s="20"/>
      <c r="B279" s="20"/>
      <c r="C279" s="20"/>
    </row>
    <row r="280" spans="1:3">
      <c r="A280" s="20"/>
      <c r="B280" s="20"/>
      <c r="C280" s="20"/>
    </row>
    <row r="281" spans="1:3">
      <c r="A281" s="20"/>
      <c r="B281" s="20"/>
      <c r="C281" s="20"/>
    </row>
    <row r="282" spans="1:3">
      <c r="A282" s="20"/>
      <c r="B282" s="20"/>
      <c r="C282" s="20"/>
    </row>
    <row r="283" spans="1:3">
      <c r="A283" s="20"/>
      <c r="B283" s="20"/>
      <c r="C283" s="20"/>
    </row>
    <row r="284" spans="1:3">
      <c r="A284" s="20"/>
      <c r="B284" s="20"/>
      <c r="C284" s="20"/>
    </row>
    <row r="285" spans="1:3">
      <c r="A285" s="20"/>
      <c r="B285" s="20"/>
      <c r="C285" s="20"/>
    </row>
    <row r="286" spans="1:3">
      <c r="A286" s="20"/>
      <c r="B286" s="20"/>
      <c r="C286" s="20"/>
    </row>
    <row r="287" spans="1:3">
      <c r="A287" s="20"/>
      <c r="B287" s="20"/>
      <c r="C287" s="20"/>
    </row>
    <row r="288" spans="1:3">
      <c r="A288" s="20"/>
      <c r="B288" s="20"/>
      <c r="C288" s="20"/>
    </row>
    <row r="289" spans="1:3">
      <c r="A289" s="20"/>
      <c r="B289" s="20"/>
      <c r="C289" s="20"/>
    </row>
    <row r="290" spans="1:3">
      <c r="A290" s="20"/>
      <c r="B290" s="20"/>
      <c r="C290" s="20"/>
    </row>
    <row r="291" spans="1:3">
      <c r="A291" s="20"/>
      <c r="B291" s="20"/>
      <c r="C291" s="20"/>
    </row>
    <row r="292" spans="1:3">
      <c r="A292" s="20"/>
      <c r="B292" s="20"/>
      <c r="C292" s="20"/>
    </row>
    <row r="293" spans="1:3">
      <c r="A293" s="20"/>
      <c r="B293" s="20"/>
      <c r="C293" s="20"/>
    </row>
    <row r="294" spans="1:3">
      <c r="A294" s="20"/>
      <c r="B294" s="20"/>
      <c r="C294" s="20"/>
    </row>
    <row r="295" spans="1:3">
      <c r="A295" s="20"/>
      <c r="B295" s="20"/>
      <c r="C295" s="20"/>
    </row>
    <row r="296" spans="1:3">
      <c r="A296" s="20"/>
      <c r="B296" s="20"/>
      <c r="C296" s="20"/>
    </row>
    <row r="297" spans="1:3">
      <c r="A297" s="20"/>
      <c r="B297" s="20"/>
      <c r="C297" s="20"/>
    </row>
    <row r="298" spans="1:3">
      <c r="A298" s="20"/>
      <c r="B298" s="20"/>
      <c r="C298" s="20"/>
    </row>
    <row r="299" spans="1:3">
      <c r="A299" s="20"/>
      <c r="B299" s="20"/>
      <c r="C299" s="20"/>
    </row>
    <row r="300" spans="1:3">
      <c r="A300" s="20"/>
      <c r="B300" s="20"/>
      <c r="C300" s="20"/>
    </row>
    <row r="301" spans="1:3">
      <c r="A301" s="20"/>
      <c r="B301" s="20"/>
      <c r="C301" s="20"/>
    </row>
    <row r="302" spans="1:3">
      <c r="A302" s="20"/>
      <c r="B302" s="20"/>
      <c r="C302" s="20"/>
    </row>
    <row r="303" spans="1:3">
      <c r="A303" s="20"/>
      <c r="B303" s="20"/>
      <c r="C303" s="20"/>
    </row>
    <row r="304" spans="1:3">
      <c r="A304" s="20"/>
      <c r="B304" s="20"/>
      <c r="C304" s="20"/>
    </row>
    <row r="305" spans="1:3">
      <c r="A305" s="20"/>
      <c r="B305" s="20"/>
      <c r="C305" s="20"/>
    </row>
    <row r="306" spans="1:3">
      <c r="A306" s="20"/>
      <c r="B306" s="20"/>
      <c r="C306" s="20"/>
    </row>
    <row r="307" spans="1:3">
      <c r="A307" s="20"/>
      <c r="B307" s="20"/>
      <c r="C307" s="20"/>
    </row>
    <row r="308" spans="1:3">
      <c r="A308" s="20"/>
      <c r="B308" s="20"/>
      <c r="C308" s="20"/>
    </row>
    <row r="309" spans="1:3">
      <c r="A309" s="20"/>
      <c r="B309" s="20"/>
      <c r="C309" s="20"/>
    </row>
    <row r="310" spans="1:3">
      <c r="A310" s="20"/>
      <c r="B310" s="20"/>
      <c r="C310" s="20"/>
    </row>
    <row r="311" spans="1:3">
      <c r="A311" s="20"/>
      <c r="B311" s="20"/>
      <c r="C311" s="20"/>
    </row>
    <row r="312" spans="1:3">
      <c r="A312" s="20"/>
      <c r="B312" s="20"/>
      <c r="C312" s="20"/>
    </row>
    <row r="313" spans="1:3">
      <c r="A313" s="20"/>
      <c r="B313" s="20"/>
      <c r="C313" s="20"/>
    </row>
    <row r="314" spans="1:3">
      <c r="A314" s="20"/>
      <c r="B314" s="20"/>
      <c r="C314" s="20"/>
    </row>
    <row r="315" spans="1:3">
      <c r="A315" s="20"/>
      <c r="B315" s="20"/>
      <c r="C315" s="20"/>
    </row>
    <row r="316" spans="1:3">
      <c r="A316" s="20"/>
      <c r="B316" s="20"/>
      <c r="C316" s="20"/>
    </row>
    <row r="317" spans="1:3">
      <c r="A317" s="20"/>
      <c r="B317" s="20"/>
      <c r="C317" s="20"/>
    </row>
    <row r="318" spans="1:3">
      <c r="A318" s="20"/>
      <c r="B318" s="20"/>
      <c r="C318" s="20"/>
    </row>
    <row r="319" spans="1:3">
      <c r="A319" s="20"/>
      <c r="B319" s="20"/>
      <c r="C319" s="20"/>
    </row>
    <row r="320" spans="1:3">
      <c r="A320" s="20"/>
      <c r="B320" s="20"/>
      <c r="C320" s="20"/>
    </row>
    <row r="321" spans="1:3">
      <c r="A321" s="20"/>
      <c r="B321" s="20"/>
      <c r="C321" s="20"/>
    </row>
    <row r="322" spans="1:3">
      <c r="A322" s="20"/>
      <c r="B322" s="20"/>
      <c r="C322" s="20"/>
    </row>
    <row r="323" spans="1:3">
      <c r="A323" s="20"/>
      <c r="B323" s="20"/>
      <c r="C323" s="20"/>
    </row>
    <row r="324" spans="1:3">
      <c r="A324" s="20"/>
      <c r="B324" s="20"/>
      <c r="C324" s="20"/>
    </row>
    <row r="325" spans="1:3">
      <c r="A325" s="20"/>
      <c r="B325" s="20"/>
      <c r="C325" s="20"/>
    </row>
    <row r="326" spans="1:3">
      <c r="A326" s="20"/>
      <c r="B326" s="20"/>
      <c r="C326" s="20"/>
    </row>
    <row r="327" spans="1:3">
      <c r="A327" s="20"/>
      <c r="B327" s="20"/>
      <c r="C327" s="20"/>
    </row>
    <row r="328" spans="1:3">
      <c r="A328" s="20"/>
      <c r="B328" s="20"/>
      <c r="C328" s="20"/>
    </row>
    <row r="329" spans="1:3">
      <c r="A329" s="20"/>
      <c r="B329" s="20"/>
      <c r="C329" s="20"/>
    </row>
    <row r="330" spans="1:3">
      <c r="A330" s="20"/>
      <c r="B330" s="20"/>
      <c r="C330" s="20"/>
    </row>
    <row r="331" spans="1:3">
      <c r="A331" s="20"/>
      <c r="B331" s="20"/>
      <c r="C331" s="20"/>
    </row>
    <row r="332" spans="1:3">
      <c r="A332" s="20"/>
      <c r="B332" s="20"/>
      <c r="C332" s="20"/>
    </row>
    <row r="333" spans="1:3">
      <c r="A333" s="20"/>
      <c r="B333" s="20"/>
      <c r="C333" s="20"/>
    </row>
    <row r="334" spans="1:3">
      <c r="A334" s="20"/>
      <c r="B334" s="20"/>
      <c r="C334" s="20"/>
    </row>
    <row r="335" spans="1:3">
      <c r="A335" s="20"/>
      <c r="B335" s="20"/>
      <c r="C335" s="20"/>
    </row>
    <row r="336" spans="1:3">
      <c r="A336" s="20"/>
      <c r="B336" s="20"/>
      <c r="C336" s="20"/>
    </row>
    <row r="337" spans="1:3">
      <c r="A337" s="20"/>
      <c r="B337" s="20"/>
      <c r="C337" s="20"/>
    </row>
    <row r="338" spans="1:3">
      <c r="A338" s="20"/>
      <c r="B338" s="20"/>
      <c r="C338" s="20"/>
    </row>
    <row r="339" spans="1:3">
      <c r="A339" s="20"/>
      <c r="B339" s="20"/>
      <c r="C339" s="20"/>
    </row>
    <row r="340" spans="1:3">
      <c r="A340" s="20"/>
      <c r="B340" s="20"/>
      <c r="C340" s="20"/>
    </row>
    <row r="341" spans="1:3">
      <c r="A341" s="20"/>
      <c r="B341" s="20"/>
      <c r="C341" s="20"/>
    </row>
    <row r="342" spans="1:3">
      <c r="A342" s="20"/>
      <c r="B342" s="20"/>
      <c r="C342" s="20"/>
    </row>
    <row r="343" spans="1:3">
      <c r="A343" s="20"/>
      <c r="B343" s="20"/>
      <c r="C343" s="20"/>
    </row>
    <row r="344" spans="1:3">
      <c r="A344" s="20"/>
      <c r="B344" s="20"/>
      <c r="C344" s="20"/>
    </row>
    <row r="345" spans="1:3">
      <c r="A345" s="20"/>
      <c r="B345" s="20"/>
      <c r="C345" s="20"/>
    </row>
    <row r="346" spans="1:3">
      <c r="A346" s="20"/>
      <c r="B346" s="20"/>
      <c r="C346" s="20"/>
    </row>
    <row r="347" spans="1:3">
      <c r="A347" s="20"/>
      <c r="B347" s="20"/>
      <c r="C347" s="20"/>
    </row>
    <row r="348" spans="1:3">
      <c r="A348" s="20"/>
      <c r="B348" s="20"/>
      <c r="C348" s="20"/>
    </row>
    <row r="349" spans="1:3">
      <c r="A349" s="20"/>
      <c r="B349" s="20"/>
      <c r="C349" s="20"/>
    </row>
    <row r="350" spans="1:3">
      <c r="A350" s="20"/>
      <c r="B350" s="20"/>
      <c r="C350" s="20"/>
    </row>
    <row r="351" spans="1:3">
      <c r="A351" s="20"/>
      <c r="B351" s="20"/>
      <c r="C351" s="20"/>
    </row>
    <row r="352" spans="1:3">
      <c r="A352" s="20"/>
      <c r="B352" s="20"/>
      <c r="C352" s="20"/>
    </row>
    <row r="353" spans="1:3">
      <c r="A353" s="20"/>
      <c r="B353" s="20"/>
      <c r="C353" s="20"/>
    </row>
    <row r="354" spans="1:3">
      <c r="A354" s="20"/>
      <c r="B354" s="20"/>
      <c r="C354" s="20"/>
    </row>
    <row r="355" spans="1:3">
      <c r="A355" s="20"/>
      <c r="B355" s="20"/>
      <c r="C355" s="20"/>
    </row>
    <row r="356" spans="1:3">
      <c r="A356" s="20"/>
      <c r="B356" s="20"/>
      <c r="C356" s="20"/>
    </row>
    <row r="357" spans="1:3">
      <c r="A357" s="20"/>
      <c r="B357" s="20"/>
      <c r="C357" s="20"/>
    </row>
    <row r="358" spans="1:3">
      <c r="A358" s="20"/>
      <c r="B358" s="20"/>
      <c r="C358" s="20"/>
    </row>
    <row r="359" spans="1:3">
      <c r="A359" s="20"/>
      <c r="B359" s="20"/>
      <c r="C359" s="20"/>
    </row>
    <row r="360" spans="1:3">
      <c r="A360" s="20"/>
      <c r="B360" s="20"/>
      <c r="C360" s="20"/>
    </row>
    <row r="361" spans="1:3">
      <c r="A361" s="20"/>
      <c r="B361" s="20"/>
      <c r="C361" s="20"/>
    </row>
    <row r="362" spans="1:3">
      <c r="A362" s="20"/>
      <c r="B362" s="20"/>
      <c r="C362" s="20"/>
    </row>
    <row r="363" spans="1:3">
      <c r="A363" s="20"/>
      <c r="B363" s="20"/>
      <c r="C363" s="20"/>
    </row>
    <row r="364" spans="1:3">
      <c r="A364" s="20"/>
      <c r="B364" s="20"/>
      <c r="C364" s="20"/>
    </row>
    <row r="365" spans="1:3">
      <c r="A365" s="20"/>
      <c r="B365" s="20"/>
      <c r="C365" s="20"/>
    </row>
    <row r="366" spans="1:3">
      <c r="A366" s="20"/>
      <c r="B366" s="20"/>
      <c r="C366" s="20"/>
    </row>
    <row r="367" spans="1:3">
      <c r="A367" s="20"/>
      <c r="B367" s="20"/>
      <c r="C367" s="20"/>
    </row>
    <row r="368" spans="1:3">
      <c r="A368" s="20"/>
      <c r="B368" s="20"/>
      <c r="C368" s="20"/>
    </row>
    <row r="369" spans="1:3">
      <c r="A369" s="20"/>
      <c r="B369" s="20"/>
      <c r="C369" s="20"/>
    </row>
    <row r="370" spans="1:3">
      <c r="A370" s="20"/>
      <c r="B370" s="20"/>
      <c r="C370" s="20"/>
    </row>
    <row r="371" spans="1:3">
      <c r="A371" s="20"/>
      <c r="B371" s="20"/>
      <c r="C371" s="20"/>
    </row>
    <row r="372" spans="1:3">
      <c r="A372" s="20"/>
      <c r="B372" s="20"/>
      <c r="C372" s="20"/>
    </row>
    <row r="373" spans="1:3">
      <c r="A373" s="20"/>
      <c r="B373" s="20"/>
      <c r="C373" s="20"/>
    </row>
    <row r="374" spans="1:3">
      <c r="A374" s="20"/>
      <c r="B374" s="20"/>
      <c r="C374" s="20"/>
    </row>
    <row r="375" spans="1:3">
      <c r="A375" s="20"/>
      <c r="B375" s="20"/>
      <c r="C375" s="20"/>
    </row>
    <row r="376" spans="1:3">
      <c r="A376" s="20"/>
      <c r="B376" s="20"/>
      <c r="C376" s="20"/>
    </row>
    <row r="377" spans="1:3">
      <c r="A377" s="20"/>
      <c r="B377" s="20"/>
      <c r="C377" s="20"/>
    </row>
    <row r="378" spans="1:3">
      <c r="A378" s="20"/>
      <c r="B378" s="20"/>
      <c r="C378" s="20"/>
    </row>
    <row r="379" spans="1:3">
      <c r="A379" s="20"/>
      <c r="B379" s="20"/>
      <c r="C379" s="20"/>
    </row>
    <row r="380" spans="1:3">
      <c r="A380" s="20"/>
      <c r="B380" s="20"/>
      <c r="C380" s="20"/>
    </row>
    <row r="381" spans="1:3">
      <c r="A381" s="20"/>
      <c r="B381" s="20"/>
      <c r="C381" s="20"/>
    </row>
    <row r="382" spans="1:3">
      <c r="A382" s="20"/>
      <c r="B382" s="20"/>
      <c r="C382" s="20"/>
    </row>
    <row r="383" spans="1:3">
      <c r="A383" s="20"/>
      <c r="B383" s="20"/>
      <c r="C383" s="20"/>
    </row>
    <row r="384" spans="1:3">
      <c r="A384" s="20"/>
      <c r="B384" s="20"/>
      <c r="C384" s="20"/>
    </row>
    <row r="385" spans="1:3">
      <c r="A385" s="20"/>
      <c r="B385" s="20"/>
      <c r="C385" s="20"/>
    </row>
    <row r="386" spans="1:3">
      <c r="A386" s="20"/>
      <c r="B386" s="20"/>
      <c r="C386" s="20"/>
    </row>
    <row r="387" spans="1:3">
      <c r="A387" s="20"/>
      <c r="B387" s="20"/>
      <c r="C387" s="20"/>
    </row>
    <row r="388" spans="1:3">
      <c r="A388" s="20"/>
      <c r="B388" s="20"/>
      <c r="C388" s="20"/>
    </row>
    <row r="389" spans="1:3">
      <c r="A389" s="20"/>
      <c r="B389" s="20"/>
      <c r="C389" s="20"/>
    </row>
    <row r="390" spans="1:3">
      <c r="A390" s="20"/>
      <c r="B390" s="20"/>
      <c r="C390" s="20"/>
    </row>
    <row r="391" spans="1:3">
      <c r="A391" s="20"/>
      <c r="B391" s="20"/>
      <c r="C391" s="20"/>
    </row>
    <row r="392" spans="1:3">
      <c r="A392" s="20"/>
      <c r="B392" s="20"/>
      <c r="C392" s="20"/>
    </row>
    <row r="393" spans="1:3">
      <c r="A393" s="20"/>
      <c r="B393" s="20"/>
      <c r="C393" s="20"/>
    </row>
    <row r="394" spans="1:3">
      <c r="A394" s="20"/>
      <c r="B394" s="20"/>
      <c r="C394" s="20"/>
    </row>
    <row r="395" spans="1:3">
      <c r="A395" s="20"/>
      <c r="B395" s="20"/>
      <c r="C395" s="20"/>
    </row>
    <row r="396" spans="1:3">
      <c r="A396" s="20"/>
      <c r="B396" s="20"/>
      <c r="C396" s="20"/>
    </row>
    <row r="397" spans="1:3">
      <c r="A397" s="20"/>
      <c r="B397" s="20"/>
      <c r="C397" s="20"/>
    </row>
    <row r="398" spans="1:3">
      <c r="A398" s="20"/>
      <c r="B398" s="20"/>
      <c r="C398" s="20"/>
    </row>
    <row r="399" spans="1:3">
      <c r="A399" s="20"/>
      <c r="B399" s="20"/>
      <c r="C399" s="20"/>
    </row>
    <row r="400" spans="1:3">
      <c r="A400" s="20"/>
      <c r="B400" s="20"/>
      <c r="C400" s="20"/>
    </row>
    <row r="401" spans="1:3">
      <c r="A401" s="20"/>
      <c r="B401" s="20"/>
      <c r="C401" s="20"/>
    </row>
    <row r="402" spans="1:3">
      <c r="A402" s="20"/>
      <c r="B402" s="20"/>
      <c r="C402" s="20"/>
    </row>
    <row r="403" spans="1:3">
      <c r="A403" s="20"/>
      <c r="B403" s="20"/>
      <c r="C403" s="20"/>
    </row>
    <row r="404" spans="1:3">
      <c r="A404" s="20"/>
      <c r="B404" s="20"/>
      <c r="C404" s="20"/>
    </row>
    <row r="405" spans="1:3">
      <c r="A405" s="20"/>
      <c r="B405" s="20"/>
      <c r="C405" s="20"/>
    </row>
    <row r="406" spans="1:3">
      <c r="A406" s="20"/>
      <c r="B406" s="20"/>
      <c r="C406" s="20"/>
    </row>
    <row r="407" spans="1:3">
      <c r="A407" s="20"/>
      <c r="B407" s="20"/>
      <c r="C407" s="20"/>
    </row>
    <row r="408" spans="1:3">
      <c r="A408" s="20"/>
      <c r="B408" s="20"/>
      <c r="C408" s="20"/>
    </row>
    <row r="409" spans="1:3">
      <c r="A409" s="20"/>
      <c r="B409" s="20"/>
      <c r="C409" s="20"/>
    </row>
    <row r="410" spans="1:3">
      <c r="A410" s="20"/>
      <c r="B410" s="20"/>
      <c r="C410" s="20"/>
    </row>
    <row r="411" spans="1:3">
      <c r="A411" s="20"/>
      <c r="B411" s="20"/>
      <c r="C411" s="20"/>
    </row>
    <row r="412" spans="1:3">
      <c r="A412" s="20"/>
      <c r="B412" s="20"/>
      <c r="C412" s="20"/>
    </row>
    <row r="413" spans="1:3">
      <c r="A413" s="20"/>
      <c r="B413" s="20"/>
      <c r="C413" s="20"/>
    </row>
    <row r="414" spans="1:3">
      <c r="A414" s="20"/>
      <c r="B414" s="20"/>
      <c r="C414" s="20"/>
    </row>
    <row r="415" spans="1:3">
      <c r="A415" s="20"/>
      <c r="B415" s="20"/>
      <c r="C415" s="20"/>
    </row>
    <row r="416" spans="1:3">
      <c r="A416" s="20"/>
      <c r="B416" s="20"/>
      <c r="C416" s="20"/>
    </row>
    <row r="417" spans="1:3">
      <c r="A417" s="20"/>
      <c r="B417" s="20"/>
      <c r="C417" s="20"/>
    </row>
    <row r="418" spans="1:3">
      <c r="A418" s="20"/>
      <c r="B418" s="20"/>
      <c r="C418" s="20"/>
    </row>
    <row r="419" spans="1:3">
      <c r="A419" s="20"/>
      <c r="B419" s="20"/>
      <c r="C419" s="20"/>
    </row>
    <row r="420" spans="1:3">
      <c r="A420" s="20"/>
      <c r="B420" s="20"/>
      <c r="C420" s="20"/>
    </row>
    <row r="421" spans="1:3">
      <c r="A421" s="20"/>
      <c r="B421" s="20"/>
      <c r="C421" s="20"/>
    </row>
    <row r="422" spans="1:3">
      <c r="A422" s="20"/>
      <c r="B422" s="20"/>
      <c r="C422" s="20"/>
    </row>
    <row r="423" spans="1:3">
      <c r="A423" s="20"/>
      <c r="B423" s="20"/>
      <c r="C423" s="20"/>
    </row>
    <row r="424" spans="1:3">
      <c r="A424" s="20"/>
      <c r="B424" s="20"/>
      <c r="C424" s="20"/>
    </row>
    <row r="425" spans="1:3">
      <c r="A425" s="20"/>
      <c r="B425" s="20"/>
      <c r="C425" s="20"/>
    </row>
    <row r="426" spans="1:3">
      <c r="A426" s="20"/>
      <c r="B426" s="20"/>
      <c r="C426" s="20"/>
    </row>
    <row r="427" spans="1:3">
      <c r="A427" s="20"/>
      <c r="B427" s="20"/>
      <c r="C427" s="20"/>
    </row>
    <row r="428" spans="1:3">
      <c r="A428" s="20"/>
      <c r="B428" s="20"/>
      <c r="C428" s="20"/>
    </row>
    <row r="429" spans="1:3">
      <c r="A429" s="20"/>
      <c r="B429" s="20"/>
      <c r="C429" s="20"/>
    </row>
    <row r="430" spans="1:3">
      <c r="A430" s="20"/>
      <c r="B430" s="20"/>
      <c r="C430" s="20"/>
    </row>
    <row r="431" spans="1:3">
      <c r="A431" s="20"/>
      <c r="B431" s="20"/>
      <c r="C431" s="20"/>
    </row>
    <row r="432" spans="1:3">
      <c r="A432" s="20"/>
      <c r="B432" s="20"/>
      <c r="C432" s="20"/>
    </row>
    <row r="433" spans="1:3">
      <c r="A433" s="20"/>
      <c r="B433" s="20"/>
      <c r="C433" s="20"/>
    </row>
    <row r="434" spans="1:3">
      <c r="A434" s="20"/>
      <c r="B434" s="20"/>
      <c r="C434" s="20"/>
    </row>
    <row r="435" spans="1:3">
      <c r="A435" s="20"/>
      <c r="B435" s="20"/>
      <c r="C435" s="20"/>
    </row>
    <row r="436" spans="1:3">
      <c r="A436" s="20"/>
      <c r="B436" s="20"/>
      <c r="C436" s="20"/>
    </row>
    <row r="437" spans="1:3">
      <c r="A437" s="20"/>
      <c r="B437" s="20"/>
      <c r="C437" s="20"/>
    </row>
    <row r="438" spans="1:3">
      <c r="A438" s="20"/>
      <c r="B438" s="20"/>
      <c r="C438" s="20"/>
    </row>
    <row r="439" spans="1:3">
      <c r="A439" s="20"/>
      <c r="B439" s="20"/>
      <c r="C439" s="20"/>
    </row>
    <row r="440" spans="1:3">
      <c r="A440" s="20"/>
      <c r="B440" s="20"/>
      <c r="C440" s="20"/>
    </row>
    <row r="441" spans="1:3">
      <c r="A441" s="20"/>
      <c r="B441" s="20"/>
      <c r="C441" s="20"/>
    </row>
    <row r="442" spans="1:3">
      <c r="A442" s="20"/>
      <c r="B442" s="20"/>
      <c r="C442" s="20"/>
    </row>
    <row r="443" spans="1:3">
      <c r="A443" s="20"/>
      <c r="B443" s="20"/>
      <c r="C443" s="20"/>
    </row>
    <row r="444" spans="1:3">
      <c r="A444" s="20"/>
      <c r="B444" s="20"/>
      <c r="C444" s="20"/>
    </row>
    <row r="445" spans="1:3">
      <c r="A445" s="20"/>
      <c r="B445" s="20"/>
      <c r="C445" s="20"/>
    </row>
    <row r="446" spans="1:3">
      <c r="A446" s="20"/>
      <c r="B446" s="20"/>
      <c r="C446" s="20"/>
    </row>
    <row r="447" spans="1:3">
      <c r="A447" s="20"/>
      <c r="B447" s="20"/>
      <c r="C447" s="20"/>
    </row>
    <row r="448" spans="1:3">
      <c r="A448" s="20"/>
      <c r="B448" s="20"/>
      <c r="C448" s="20"/>
    </row>
    <row r="449" spans="1:3">
      <c r="A449" s="20"/>
      <c r="B449" s="20"/>
      <c r="C449" s="20"/>
    </row>
    <row r="450" spans="1:3">
      <c r="A450" s="20"/>
      <c r="B450" s="20"/>
      <c r="C450" s="20"/>
    </row>
    <row r="451" spans="1:3">
      <c r="A451" s="20"/>
      <c r="B451" s="20"/>
      <c r="C451" s="20"/>
    </row>
    <row r="452" spans="1:3">
      <c r="A452" s="20"/>
      <c r="B452" s="20"/>
      <c r="C452" s="20"/>
    </row>
    <row r="453" spans="1:3">
      <c r="A453" s="20"/>
      <c r="B453" s="20"/>
      <c r="C453" s="20"/>
    </row>
    <row r="454" spans="1:3">
      <c r="A454" s="20"/>
      <c r="B454" s="20"/>
      <c r="C454" s="20"/>
    </row>
    <row r="455" spans="1:3">
      <c r="A455" s="20"/>
      <c r="B455" s="20"/>
      <c r="C455" s="20"/>
    </row>
    <row r="456" spans="1:3">
      <c r="A456" s="20"/>
      <c r="B456" s="20"/>
      <c r="C456" s="20"/>
    </row>
    <row r="457" spans="1:3">
      <c r="A457" s="20"/>
      <c r="B457" s="20"/>
      <c r="C457" s="20"/>
    </row>
    <row r="458" spans="1:3">
      <c r="A458" s="20"/>
      <c r="B458" s="20"/>
      <c r="C458" s="20"/>
    </row>
    <row r="459" spans="1:3">
      <c r="A459" s="20"/>
      <c r="B459" s="20"/>
      <c r="C459" s="20"/>
    </row>
    <row r="460" spans="1:3">
      <c r="A460" s="20"/>
      <c r="B460" s="20"/>
      <c r="C460" s="20"/>
    </row>
    <row r="461" spans="1:3">
      <c r="A461" s="20"/>
      <c r="B461" s="20"/>
      <c r="C461" s="20"/>
    </row>
    <row r="462" spans="1:3">
      <c r="A462" s="20"/>
      <c r="B462" s="20"/>
      <c r="C462" s="20"/>
    </row>
    <row r="463" spans="1:3">
      <c r="A463" s="20"/>
      <c r="B463" s="20"/>
      <c r="C463" s="20"/>
    </row>
    <row r="464" spans="1:3">
      <c r="A464" s="20"/>
      <c r="B464" s="20"/>
      <c r="C464" s="20"/>
    </row>
    <row r="465" spans="1:3">
      <c r="A465" s="20"/>
      <c r="B465" s="20"/>
      <c r="C465" s="20"/>
    </row>
    <row r="466" spans="1:3">
      <c r="A466" s="20"/>
      <c r="B466" s="20"/>
      <c r="C466" s="20"/>
    </row>
    <row r="467" spans="1:3">
      <c r="A467" s="20"/>
      <c r="B467" s="20"/>
      <c r="C467" s="20"/>
    </row>
    <row r="468" spans="1:3">
      <c r="A468" s="20"/>
      <c r="B468" s="20"/>
      <c r="C468" s="20"/>
    </row>
    <row r="469" spans="1:3">
      <c r="A469" s="20"/>
      <c r="B469" s="20"/>
      <c r="C469" s="20"/>
    </row>
    <row r="470" spans="1:3">
      <c r="A470" s="20"/>
      <c r="B470" s="20"/>
      <c r="C470" s="20"/>
    </row>
    <row r="471" spans="1:3">
      <c r="A471" s="20"/>
      <c r="B471" s="20"/>
      <c r="C471" s="20"/>
    </row>
    <row r="472" spans="1:3">
      <c r="A472" s="20"/>
      <c r="B472" s="20"/>
      <c r="C472" s="20"/>
    </row>
    <row r="473" spans="1:3">
      <c r="A473" s="20"/>
      <c r="B473" s="20"/>
      <c r="C473" s="20"/>
    </row>
    <row r="474" spans="1:3">
      <c r="A474" s="20"/>
      <c r="B474" s="20"/>
      <c r="C474" s="20"/>
    </row>
    <row r="475" spans="1:3">
      <c r="A475" s="20"/>
      <c r="B475" s="20"/>
      <c r="C475" s="20"/>
    </row>
    <row r="476" spans="1:3">
      <c r="A476" s="20"/>
      <c r="B476" s="20"/>
      <c r="C476" s="20"/>
    </row>
    <row r="477" spans="1:3">
      <c r="A477" s="20"/>
      <c r="B477" s="20"/>
      <c r="C477" s="20"/>
    </row>
    <row r="478" spans="1:3">
      <c r="A478" s="20"/>
      <c r="B478" s="20"/>
      <c r="C478" s="20"/>
    </row>
    <row r="479" spans="1:3">
      <c r="A479" s="20"/>
      <c r="B479" s="20"/>
      <c r="C479" s="20"/>
    </row>
    <row r="480" spans="1:3">
      <c r="A480" s="20"/>
      <c r="B480" s="20"/>
      <c r="C480" s="20"/>
    </row>
    <row r="481" spans="1:3">
      <c r="A481" s="20"/>
      <c r="B481" s="20"/>
      <c r="C481" s="20"/>
    </row>
    <row r="482" spans="1:3">
      <c r="A482" s="20"/>
      <c r="B482" s="20"/>
      <c r="C482" s="20"/>
    </row>
    <row r="483" spans="1:3">
      <c r="A483" s="20"/>
      <c r="B483" s="20"/>
      <c r="C483" s="20"/>
    </row>
    <row r="484" spans="1:3">
      <c r="A484" s="20"/>
      <c r="B484" s="20"/>
      <c r="C484" s="20"/>
    </row>
    <row r="485" spans="1:3">
      <c r="A485" s="20"/>
      <c r="B485" s="20"/>
      <c r="C485" s="20"/>
    </row>
    <row r="486" spans="1:3">
      <c r="A486" s="20"/>
      <c r="B486" s="20"/>
      <c r="C486" s="20"/>
    </row>
    <row r="487" spans="1:3">
      <c r="A487" s="20"/>
      <c r="B487" s="20"/>
      <c r="C487" s="20"/>
    </row>
    <row r="488" spans="1:3">
      <c r="A488" s="20"/>
      <c r="B488" s="20"/>
      <c r="C488" s="20"/>
    </row>
    <row r="489" spans="1:3">
      <c r="A489" s="20"/>
      <c r="B489" s="20"/>
      <c r="C489" s="20"/>
    </row>
    <row r="490" spans="1:3">
      <c r="A490" s="20"/>
      <c r="B490" s="20"/>
      <c r="C490" s="20"/>
    </row>
    <row r="491" spans="1:3">
      <c r="A491" s="20"/>
      <c r="B491" s="20"/>
      <c r="C491" s="20"/>
    </row>
    <row r="492" spans="1:3">
      <c r="A492" s="20"/>
      <c r="B492" s="20"/>
      <c r="C492" s="20"/>
    </row>
    <row r="493" spans="1:3">
      <c r="A493" s="20"/>
      <c r="B493" s="20"/>
      <c r="C493" s="20"/>
    </row>
    <row r="494" spans="1:3">
      <c r="A494" s="20"/>
      <c r="B494" s="20"/>
      <c r="C494" s="20"/>
    </row>
    <row r="495" spans="1:3">
      <c r="A495" s="20"/>
      <c r="B495" s="20"/>
      <c r="C495" s="20"/>
    </row>
    <row r="496" spans="1:3">
      <c r="A496" s="20"/>
      <c r="B496" s="20"/>
      <c r="C496" s="20"/>
    </row>
    <row r="497" spans="1:3">
      <c r="A497" s="20"/>
      <c r="B497" s="20"/>
      <c r="C497" s="20"/>
    </row>
    <row r="498" spans="1:3">
      <c r="A498" s="20"/>
      <c r="B498" s="20"/>
      <c r="C498" s="20"/>
    </row>
    <row r="499" spans="1:3">
      <c r="A499" s="20"/>
      <c r="B499" s="20"/>
      <c r="C499" s="20"/>
    </row>
    <row r="500" spans="1:3">
      <c r="A500" s="20"/>
      <c r="B500" s="20"/>
      <c r="C500" s="20"/>
    </row>
    <row r="501" spans="1:3">
      <c r="A501" s="20"/>
      <c r="B501" s="20"/>
      <c r="C501" s="20"/>
    </row>
    <row r="502" spans="1:3">
      <c r="A502" s="20"/>
      <c r="B502" s="20"/>
      <c r="C502" s="20"/>
    </row>
    <row r="503" spans="1:3">
      <c r="A503" s="20"/>
      <c r="B503" s="20"/>
      <c r="C503" s="20"/>
    </row>
    <row r="504" spans="1:3">
      <c r="A504" s="20"/>
      <c r="B504" s="20"/>
      <c r="C504" s="20"/>
    </row>
    <row r="505" spans="1:3">
      <c r="A505" s="20"/>
      <c r="B505" s="20"/>
      <c r="C505" s="20"/>
    </row>
    <row r="506" spans="1:3">
      <c r="A506" s="20"/>
      <c r="B506" s="20"/>
      <c r="C506" s="20"/>
    </row>
    <row r="507" spans="1:3">
      <c r="A507" s="20"/>
      <c r="B507" s="20"/>
      <c r="C507" s="20"/>
    </row>
    <row r="508" spans="1:3">
      <c r="A508" s="20"/>
      <c r="B508" s="20"/>
      <c r="C508" s="20"/>
    </row>
    <row r="509" spans="1:3">
      <c r="A509" s="20"/>
      <c r="B509" s="20"/>
      <c r="C509" s="20"/>
    </row>
    <row r="510" spans="1:3">
      <c r="A510" s="20"/>
      <c r="B510" s="20"/>
      <c r="C510" s="20"/>
    </row>
    <row r="511" spans="1:3">
      <c r="A511" s="20"/>
      <c r="B511" s="20"/>
      <c r="C511" s="20"/>
    </row>
    <row r="512" spans="1:3">
      <c r="A512" s="20"/>
      <c r="B512" s="20"/>
      <c r="C512" s="20"/>
    </row>
    <row r="513" spans="1:3">
      <c r="A513" s="20"/>
      <c r="B513" s="20"/>
      <c r="C513" s="20"/>
    </row>
    <row r="514" spans="1:3">
      <c r="A514" s="20"/>
      <c r="B514" s="20"/>
      <c r="C514" s="20"/>
    </row>
    <row r="515" spans="1:3">
      <c r="A515" s="20"/>
      <c r="B515" s="20"/>
      <c r="C515" s="20"/>
    </row>
    <row r="516" spans="1:3">
      <c r="A516" s="20"/>
      <c r="B516" s="20"/>
      <c r="C516" s="20"/>
    </row>
    <row r="517" spans="1:3">
      <c r="A517" s="20"/>
      <c r="B517" s="20"/>
      <c r="C517" s="20"/>
    </row>
    <row r="518" spans="1:3">
      <c r="A518" s="20"/>
      <c r="B518" s="20"/>
      <c r="C518" s="20"/>
    </row>
    <row r="519" spans="1:3">
      <c r="A519" s="20"/>
      <c r="B519" s="20"/>
      <c r="C519" s="20"/>
    </row>
    <row r="520" spans="1:3">
      <c r="A520" s="20"/>
      <c r="B520" s="20"/>
      <c r="C520" s="20"/>
    </row>
    <row r="521" spans="1:3">
      <c r="A521" s="20"/>
      <c r="B521" s="20"/>
      <c r="C521" s="20"/>
    </row>
    <row r="522" spans="1:3">
      <c r="A522" s="20"/>
      <c r="B522" s="20"/>
      <c r="C522" s="20"/>
    </row>
    <row r="523" spans="1:3">
      <c r="A523" s="20"/>
      <c r="B523" s="20"/>
      <c r="C523" s="20"/>
    </row>
    <row r="524" spans="1:3">
      <c r="A524" s="20"/>
      <c r="B524" s="20"/>
      <c r="C524" s="20"/>
    </row>
    <row r="525" spans="1:3">
      <c r="A525" s="20"/>
      <c r="B525" s="20"/>
      <c r="C525" s="20"/>
    </row>
    <row r="526" spans="1:3">
      <c r="A526" s="20"/>
      <c r="B526" s="20"/>
      <c r="C526" s="20"/>
    </row>
    <row r="527" spans="1:3">
      <c r="A527" s="20"/>
      <c r="B527" s="20"/>
      <c r="C527" s="20"/>
    </row>
    <row r="528" spans="1:3">
      <c r="A528" s="20"/>
      <c r="B528" s="20"/>
      <c r="C528" s="20"/>
    </row>
    <row r="529" spans="1:3">
      <c r="A529" s="20"/>
      <c r="B529" s="20"/>
      <c r="C529" s="20"/>
    </row>
    <row r="530" spans="1:3">
      <c r="A530" s="20"/>
      <c r="B530" s="20"/>
      <c r="C530" s="20"/>
    </row>
    <row r="531" spans="1:3">
      <c r="A531" s="20"/>
      <c r="B531" s="20"/>
      <c r="C531" s="20"/>
    </row>
    <row r="532" spans="1:3">
      <c r="A532" s="20"/>
      <c r="B532" s="20"/>
      <c r="C532" s="20"/>
    </row>
    <row r="533" spans="1:3">
      <c r="A533" s="20"/>
      <c r="B533" s="20"/>
      <c r="C533" s="20"/>
    </row>
    <row r="534" spans="1:3">
      <c r="A534" s="20"/>
      <c r="B534" s="20"/>
      <c r="C534" s="20"/>
    </row>
    <row r="535" spans="1:3">
      <c r="A535" s="20"/>
      <c r="B535" s="20"/>
      <c r="C535" s="20"/>
    </row>
    <row r="536" spans="1:3">
      <c r="A536" s="20"/>
      <c r="B536" s="20"/>
      <c r="C536" s="20"/>
    </row>
    <row r="537" spans="1:3">
      <c r="A537" s="20"/>
      <c r="B537" s="20"/>
      <c r="C537" s="20"/>
    </row>
    <row r="538" spans="1:3">
      <c r="A538" s="20"/>
      <c r="B538" s="20"/>
      <c r="C538" s="20"/>
    </row>
    <row r="539" spans="1:3">
      <c r="A539" s="20"/>
      <c r="B539" s="20"/>
      <c r="C539" s="20"/>
    </row>
    <row r="540" spans="1:3">
      <c r="A540" s="20"/>
      <c r="B540" s="20"/>
      <c r="C540" s="20"/>
    </row>
    <row r="541" spans="1:3">
      <c r="A541" s="20"/>
      <c r="B541" s="20"/>
      <c r="C541" s="20"/>
    </row>
    <row r="542" spans="1:3">
      <c r="A542" s="20"/>
      <c r="B542" s="20"/>
      <c r="C542" s="20"/>
    </row>
    <row r="543" spans="1:3">
      <c r="A543" s="20"/>
      <c r="B543" s="20"/>
      <c r="C543" s="20"/>
    </row>
    <row r="544" spans="1:3">
      <c r="A544" s="20"/>
      <c r="B544" s="20"/>
      <c r="C544" s="20"/>
    </row>
    <row r="545" spans="1:3">
      <c r="A545" s="20"/>
      <c r="B545" s="20"/>
      <c r="C545" s="20"/>
    </row>
    <row r="546" spans="1:3">
      <c r="A546" s="20"/>
      <c r="B546" s="20"/>
      <c r="C546" s="20"/>
    </row>
    <row r="547" spans="1:3">
      <c r="A547" s="20"/>
      <c r="B547" s="20"/>
      <c r="C547" s="20"/>
    </row>
    <row r="548" spans="1:3">
      <c r="A548" s="20"/>
      <c r="B548" s="20"/>
      <c r="C548" s="20"/>
    </row>
    <row r="549" spans="1:3">
      <c r="A549" s="20"/>
      <c r="B549" s="20"/>
      <c r="C549" s="20"/>
    </row>
    <row r="550" spans="1:3">
      <c r="A550" s="20"/>
      <c r="B550" s="20"/>
      <c r="C550" s="20"/>
    </row>
    <row r="551" spans="1:3">
      <c r="A551" s="20"/>
      <c r="B551" s="20"/>
      <c r="C551" s="20"/>
    </row>
    <row r="552" spans="1:3">
      <c r="A552" s="20"/>
      <c r="B552" s="20"/>
      <c r="C552" s="20"/>
    </row>
    <row r="553" spans="1:3">
      <c r="A553" s="20"/>
      <c r="B553" s="20"/>
      <c r="C553" s="20"/>
    </row>
    <row r="554" spans="1:3">
      <c r="A554" s="20"/>
      <c r="B554" s="20"/>
      <c r="C554" s="20"/>
    </row>
    <row r="555" spans="1:3">
      <c r="A555" s="20"/>
      <c r="B555" s="20"/>
      <c r="C555" s="20"/>
    </row>
    <row r="556" spans="1:3">
      <c r="A556" s="20"/>
      <c r="B556" s="20"/>
      <c r="C556" s="20"/>
    </row>
    <row r="557" spans="1:3">
      <c r="A557" s="20"/>
      <c r="B557" s="20"/>
      <c r="C557" s="20"/>
    </row>
    <row r="558" spans="1:3">
      <c r="A558" s="20"/>
      <c r="B558" s="20"/>
      <c r="C558" s="20"/>
    </row>
    <row r="559" spans="1:3">
      <c r="A559" s="20"/>
      <c r="B559" s="20"/>
      <c r="C559" s="20"/>
    </row>
    <row r="560" spans="1:3">
      <c r="A560" s="20"/>
      <c r="B560" s="20"/>
      <c r="C560" s="20"/>
    </row>
    <row r="561" spans="1:3">
      <c r="A561" s="20"/>
      <c r="B561" s="20"/>
      <c r="C561" s="20"/>
    </row>
    <row r="562" spans="1:3">
      <c r="A562" s="20"/>
      <c r="B562" s="20"/>
      <c r="C562" s="20"/>
    </row>
    <row r="563" spans="1:3">
      <c r="A563" s="20"/>
      <c r="B563" s="20"/>
      <c r="C563" s="20"/>
    </row>
    <row r="564" spans="1:3">
      <c r="A564" s="20"/>
      <c r="B564" s="20"/>
      <c r="C564" s="20"/>
    </row>
    <row r="565" spans="1:3">
      <c r="A565" s="20"/>
      <c r="B565" s="20"/>
      <c r="C565" s="20"/>
    </row>
    <row r="566" spans="1:3">
      <c r="A566" s="20"/>
      <c r="B566" s="20"/>
      <c r="C566" s="20"/>
    </row>
    <row r="567" spans="1:3">
      <c r="A567" s="20"/>
      <c r="B567" s="20"/>
      <c r="C567" s="20"/>
    </row>
    <row r="568" spans="1:3">
      <c r="A568" s="20"/>
      <c r="B568" s="20"/>
      <c r="C568" s="20"/>
    </row>
    <row r="569" spans="1:3">
      <c r="A569" s="20"/>
      <c r="B569" s="20"/>
      <c r="C569" s="20"/>
    </row>
    <row r="570" spans="1:3">
      <c r="A570" s="20"/>
      <c r="B570" s="20"/>
      <c r="C570" s="20"/>
    </row>
    <row r="571" spans="1:3">
      <c r="A571" s="20"/>
      <c r="B571" s="20"/>
      <c r="C571" s="20"/>
    </row>
    <row r="572" spans="1:3">
      <c r="A572" s="20"/>
      <c r="B572" s="20"/>
      <c r="C572" s="20"/>
    </row>
    <row r="573" spans="1:3">
      <c r="A573" s="20"/>
      <c r="B573" s="20"/>
      <c r="C573" s="20"/>
    </row>
    <row r="574" spans="1:3">
      <c r="A574" s="20"/>
      <c r="B574" s="20"/>
      <c r="C574" s="20"/>
    </row>
    <row r="575" spans="1:3">
      <c r="A575" s="20"/>
      <c r="B575" s="20"/>
      <c r="C575" s="20"/>
    </row>
    <row r="576" spans="1:3">
      <c r="A576" s="20"/>
      <c r="B576" s="20"/>
      <c r="C576" s="20"/>
    </row>
    <row r="577" spans="1:3">
      <c r="A577" s="20"/>
      <c r="B577" s="20"/>
      <c r="C577" s="20"/>
    </row>
    <row r="578" spans="1:3">
      <c r="A578" s="20"/>
      <c r="B578" s="20"/>
      <c r="C578" s="20"/>
    </row>
    <row r="579" spans="1:3">
      <c r="A579" s="20"/>
      <c r="B579" s="20"/>
      <c r="C579" s="20"/>
    </row>
    <row r="580" spans="1:3">
      <c r="A580" s="20"/>
      <c r="B580" s="20"/>
      <c r="C580" s="20"/>
    </row>
    <row r="581" spans="1:3">
      <c r="A581" s="20"/>
      <c r="B581" s="20"/>
      <c r="C581" s="20"/>
    </row>
    <row r="582" spans="1:3">
      <c r="A582" s="20"/>
      <c r="B582" s="20"/>
      <c r="C582" s="20"/>
    </row>
    <row r="583" spans="1:3">
      <c r="A583" s="20"/>
      <c r="B583" s="20"/>
      <c r="C583" s="20"/>
    </row>
    <row r="584" spans="1:3">
      <c r="A584" s="20"/>
      <c r="B584" s="20"/>
      <c r="C584" s="20"/>
    </row>
    <row r="585" spans="1:3">
      <c r="A585" s="20"/>
      <c r="B585" s="20"/>
      <c r="C585" s="20"/>
    </row>
    <row r="586" spans="1:3">
      <c r="A586" s="20"/>
      <c r="B586" s="20"/>
      <c r="C586" s="20"/>
    </row>
    <row r="587" spans="1:3">
      <c r="A587" s="20"/>
      <c r="B587" s="20"/>
      <c r="C587" s="20"/>
    </row>
    <row r="588" spans="1:3">
      <c r="A588" s="20"/>
      <c r="B588" s="20"/>
      <c r="C588" s="20"/>
    </row>
    <row r="589" spans="1:3">
      <c r="A589" s="20"/>
      <c r="B589" s="20"/>
      <c r="C589" s="20"/>
    </row>
    <row r="590" spans="1:3">
      <c r="A590" s="20"/>
      <c r="B590" s="20"/>
      <c r="C590" s="20"/>
    </row>
    <row r="591" spans="1:3">
      <c r="A591" s="20"/>
      <c r="B591" s="20"/>
      <c r="C591" s="20"/>
    </row>
    <row r="592" spans="1:3">
      <c r="A592" s="20"/>
      <c r="B592" s="20"/>
      <c r="C592" s="20"/>
    </row>
    <row r="593" spans="1:3">
      <c r="A593" s="20"/>
      <c r="B593" s="20"/>
      <c r="C593" s="20"/>
    </row>
    <row r="594" spans="1:3">
      <c r="A594" s="20"/>
      <c r="B594" s="20"/>
      <c r="C594" s="20"/>
    </row>
    <row r="595" spans="1:3">
      <c r="A595" s="20"/>
      <c r="B595" s="20"/>
      <c r="C595" s="20"/>
    </row>
    <row r="596" spans="1:3">
      <c r="A596" s="20"/>
      <c r="B596" s="20"/>
      <c r="C596" s="20"/>
    </row>
    <row r="597" spans="1:3">
      <c r="A597" s="20"/>
      <c r="B597" s="20"/>
      <c r="C597" s="20"/>
    </row>
    <row r="598" spans="1:3">
      <c r="A598" s="20"/>
      <c r="B598" s="20"/>
      <c r="C598" s="20"/>
    </row>
    <row r="599" spans="1:3">
      <c r="A599" s="20"/>
      <c r="B599" s="20"/>
      <c r="C599" s="20"/>
    </row>
    <row r="600" spans="1:3">
      <c r="A600" s="20"/>
      <c r="B600" s="20"/>
      <c r="C600" s="20"/>
    </row>
    <row r="601" spans="1:3">
      <c r="A601" s="20"/>
      <c r="B601" s="20"/>
      <c r="C601" s="20"/>
    </row>
    <row r="602" spans="1:3">
      <c r="A602" s="20"/>
      <c r="B602" s="20"/>
      <c r="C602" s="20"/>
    </row>
    <row r="603" spans="1:3">
      <c r="A603" s="20"/>
      <c r="B603" s="20"/>
      <c r="C603" s="20"/>
    </row>
    <row r="604" spans="1:3">
      <c r="A604" s="20"/>
      <c r="B604" s="20"/>
      <c r="C604" s="20"/>
    </row>
    <row r="605" spans="1:3">
      <c r="A605" s="20"/>
      <c r="B605" s="20"/>
      <c r="C605" s="20"/>
    </row>
    <row r="606" spans="1:3">
      <c r="A606" s="20"/>
      <c r="B606" s="20"/>
      <c r="C606" s="20"/>
    </row>
    <row r="607" spans="1:3">
      <c r="A607" s="20"/>
      <c r="B607" s="20"/>
      <c r="C607" s="20"/>
    </row>
    <row r="608" spans="1:3">
      <c r="A608" s="20"/>
      <c r="B608" s="20"/>
      <c r="C608" s="20"/>
    </row>
    <row r="609" spans="1:3">
      <c r="A609" s="20"/>
      <c r="B609" s="20"/>
      <c r="C609" s="20"/>
    </row>
    <row r="610" spans="1:3">
      <c r="A610" s="20"/>
      <c r="B610" s="20"/>
      <c r="C610" s="20"/>
    </row>
    <row r="611" spans="1:3">
      <c r="A611" s="20"/>
      <c r="B611" s="20"/>
      <c r="C611" s="20"/>
    </row>
    <row r="612" spans="1:3">
      <c r="A612" s="20"/>
      <c r="B612" s="20"/>
      <c r="C612" s="20"/>
    </row>
    <row r="613" spans="1:3">
      <c r="A613" s="20"/>
      <c r="B613" s="20"/>
      <c r="C613" s="20"/>
    </row>
    <row r="614" spans="1:3">
      <c r="A614" s="20"/>
      <c r="B614" s="20"/>
      <c r="C614" s="20"/>
    </row>
    <row r="615" spans="1:3">
      <c r="A615" s="20"/>
      <c r="B615" s="20"/>
      <c r="C615" s="20"/>
    </row>
    <row r="616" spans="1:3">
      <c r="A616" s="20"/>
      <c r="B616" s="20"/>
      <c r="C616" s="20"/>
    </row>
    <row r="617" spans="1:3">
      <c r="A617" s="20"/>
      <c r="B617" s="20"/>
      <c r="C617" s="20"/>
    </row>
    <row r="618" spans="1:3">
      <c r="A618" s="20"/>
      <c r="B618" s="20"/>
      <c r="C618" s="20"/>
    </row>
    <row r="619" spans="1:3">
      <c r="A619" s="20"/>
      <c r="B619" s="20"/>
      <c r="C619" s="20"/>
    </row>
    <row r="620" spans="1:3">
      <c r="A620" s="20"/>
      <c r="B620" s="20"/>
      <c r="C620" s="20"/>
    </row>
    <row r="621" spans="1:3">
      <c r="A621" s="20"/>
      <c r="B621" s="20"/>
      <c r="C621" s="20"/>
    </row>
    <row r="622" spans="1:3">
      <c r="A622" s="20"/>
      <c r="B622" s="20"/>
      <c r="C622" s="20"/>
    </row>
    <row r="623" spans="1:3">
      <c r="A623" s="20"/>
      <c r="B623" s="20"/>
      <c r="C623" s="20"/>
    </row>
    <row r="624" spans="1:3">
      <c r="A624" s="20"/>
      <c r="B624" s="20"/>
      <c r="C624" s="20"/>
    </row>
    <row r="625" spans="1:3">
      <c r="A625" s="20"/>
      <c r="B625" s="20"/>
      <c r="C625" s="20"/>
    </row>
    <row r="626" spans="1:3">
      <c r="A626" s="20"/>
      <c r="B626" s="20"/>
      <c r="C626" s="20"/>
    </row>
    <row r="627" spans="1:3">
      <c r="A627" s="20"/>
      <c r="B627" s="20"/>
      <c r="C627" s="20"/>
    </row>
    <row r="628" spans="1:3">
      <c r="A628" s="20"/>
      <c r="B628" s="20"/>
      <c r="C628" s="20"/>
    </row>
    <row r="629" spans="1:3">
      <c r="A629" s="20"/>
      <c r="B629" s="20"/>
      <c r="C629" s="20"/>
    </row>
    <row r="630" spans="1:3">
      <c r="A630" s="20"/>
      <c r="B630" s="20"/>
      <c r="C630" s="20"/>
    </row>
    <row r="631" spans="1:3">
      <c r="A631" s="20"/>
      <c r="B631" s="20"/>
      <c r="C631" s="20"/>
    </row>
    <row r="632" spans="1:3">
      <c r="A632" s="20"/>
      <c r="B632" s="20"/>
      <c r="C632" s="20"/>
    </row>
    <row r="633" spans="1:3">
      <c r="A633" s="20"/>
      <c r="B633" s="20"/>
      <c r="C633" s="20"/>
    </row>
    <row r="634" spans="1:3">
      <c r="A634" s="20"/>
      <c r="B634" s="20"/>
      <c r="C634" s="20"/>
    </row>
    <row r="635" spans="1:3">
      <c r="A635" s="20"/>
      <c r="B635" s="20"/>
      <c r="C635" s="20"/>
    </row>
    <row r="636" spans="1:3">
      <c r="A636" s="20"/>
      <c r="B636" s="20"/>
      <c r="C636" s="20"/>
    </row>
    <row r="637" spans="1:3">
      <c r="A637" s="20"/>
      <c r="B637" s="20"/>
      <c r="C637" s="20"/>
    </row>
    <row r="638" spans="1:3">
      <c r="A638" s="20"/>
      <c r="B638" s="20"/>
      <c r="C638" s="20"/>
    </row>
    <row r="639" spans="1:3">
      <c r="A639" s="20"/>
      <c r="B639" s="20"/>
      <c r="C639" s="20"/>
    </row>
    <row r="640" spans="1:3">
      <c r="A640" s="20"/>
      <c r="B640" s="20"/>
      <c r="C640" s="20"/>
    </row>
    <row r="641" spans="1:3">
      <c r="A641" s="20"/>
      <c r="B641" s="20"/>
      <c r="C641" s="20"/>
    </row>
    <row r="642" spans="1:3">
      <c r="A642" s="20"/>
      <c r="B642" s="20"/>
      <c r="C642" s="20"/>
    </row>
    <row r="643" spans="1:3">
      <c r="A643" s="20"/>
      <c r="B643" s="20"/>
      <c r="C643" s="20"/>
    </row>
    <row r="644" spans="1:3">
      <c r="A644" s="20"/>
      <c r="B644" s="20"/>
      <c r="C644" s="20"/>
    </row>
    <row r="645" spans="1:3">
      <c r="A645" s="20"/>
      <c r="B645" s="20"/>
      <c r="C645" s="20"/>
    </row>
    <row r="646" spans="1:3">
      <c r="A646" s="20"/>
      <c r="B646" s="20"/>
      <c r="C646" s="20"/>
    </row>
    <row r="647" spans="1:3">
      <c r="A647" s="20"/>
      <c r="B647" s="20"/>
      <c r="C647" s="20"/>
    </row>
    <row r="648" spans="1:3">
      <c r="A648" s="20"/>
      <c r="B648" s="20"/>
      <c r="C648" s="20"/>
    </row>
    <row r="649" spans="1:3">
      <c r="A649" s="20"/>
      <c r="B649" s="20"/>
      <c r="C649" s="20"/>
    </row>
    <row r="650" spans="1:3">
      <c r="A650" s="20"/>
      <c r="B650" s="20"/>
      <c r="C650" s="20"/>
    </row>
    <row r="651" spans="1:3">
      <c r="A651" s="20"/>
      <c r="B651" s="20"/>
      <c r="C651" s="20"/>
    </row>
    <row r="652" spans="1:3">
      <c r="A652" s="20"/>
      <c r="B652" s="20"/>
      <c r="C652" s="20"/>
    </row>
    <row r="653" spans="1:3">
      <c r="A653" s="20"/>
      <c r="B653" s="20"/>
      <c r="C653" s="20"/>
    </row>
    <row r="654" spans="1:3">
      <c r="A654" s="20"/>
      <c r="B654" s="20"/>
      <c r="C654" s="20"/>
    </row>
    <row r="655" spans="1:3">
      <c r="A655" s="20"/>
      <c r="B655" s="20"/>
      <c r="C655" s="20"/>
    </row>
    <row r="656" spans="1:3">
      <c r="A656" s="20"/>
      <c r="B656" s="20"/>
      <c r="C656" s="20"/>
    </row>
    <row r="657" spans="1:3">
      <c r="A657" s="20"/>
      <c r="B657" s="20"/>
      <c r="C657" s="20"/>
    </row>
    <row r="658" spans="1:3">
      <c r="A658" s="20"/>
      <c r="B658" s="20"/>
      <c r="C658" s="20"/>
    </row>
    <row r="659" spans="1:3">
      <c r="A659" s="20"/>
      <c r="B659" s="20"/>
      <c r="C659" s="20"/>
    </row>
    <row r="660" spans="1:3">
      <c r="A660" s="20"/>
      <c r="B660" s="20"/>
      <c r="C660" s="20"/>
    </row>
    <row r="661" spans="1:3">
      <c r="A661" s="20"/>
      <c r="B661" s="20"/>
      <c r="C661" s="20"/>
    </row>
    <row r="662" spans="1:3">
      <c r="A662" s="20"/>
      <c r="B662" s="20"/>
      <c r="C662" s="20"/>
    </row>
    <row r="663" spans="1:3">
      <c r="A663" s="20"/>
      <c r="B663" s="20"/>
      <c r="C663" s="20"/>
    </row>
    <row r="664" spans="1:3">
      <c r="A664" s="20"/>
      <c r="B664" s="20"/>
      <c r="C664" s="20"/>
    </row>
    <row r="665" spans="1:3">
      <c r="A665" s="20"/>
      <c r="B665" s="20"/>
      <c r="C665" s="20"/>
    </row>
    <row r="666" spans="1:3">
      <c r="A666" s="20"/>
      <c r="B666" s="20"/>
      <c r="C666" s="20"/>
    </row>
    <row r="667" spans="1:3">
      <c r="A667" s="20"/>
      <c r="B667" s="20"/>
      <c r="C667" s="20"/>
    </row>
    <row r="668" spans="1:3">
      <c r="A668" s="20"/>
      <c r="B668" s="20"/>
      <c r="C668" s="20"/>
    </row>
    <row r="669" spans="1:3">
      <c r="A669" s="20"/>
      <c r="B669" s="20"/>
      <c r="C669" s="20"/>
    </row>
    <row r="670" spans="1:3">
      <c r="A670" s="20"/>
      <c r="B670" s="20"/>
      <c r="C670" s="20"/>
    </row>
    <row r="671" spans="1:3">
      <c r="A671" s="20"/>
      <c r="B671" s="20"/>
      <c r="C671" s="20"/>
    </row>
    <row r="672" spans="1:3">
      <c r="A672" s="20"/>
      <c r="B672" s="20"/>
      <c r="C672" s="20"/>
    </row>
    <row r="673" spans="1:3">
      <c r="A673" s="20"/>
      <c r="B673" s="20"/>
      <c r="C673" s="20"/>
    </row>
    <row r="674" spans="1:3">
      <c r="A674" s="20"/>
      <c r="B674" s="20"/>
      <c r="C674" s="20"/>
    </row>
    <row r="675" spans="1:3">
      <c r="A675" s="20"/>
      <c r="B675" s="20"/>
      <c r="C675" s="20"/>
    </row>
    <row r="676" spans="1:3">
      <c r="A676" s="20"/>
      <c r="B676" s="20"/>
      <c r="C676" s="20"/>
    </row>
    <row r="677" spans="1:3">
      <c r="A677" s="20"/>
      <c r="B677" s="20"/>
      <c r="C677" s="20"/>
    </row>
    <row r="678" spans="1:3">
      <c r="A678" s="20"/>
      <c r="B678" s="20"/>
      <c r="C678" s="20"/>
    </row>
    <row r="679" spans="1:3">
      <c r="A679" s="20"/>
      <c r="B679" s="20"/>
      <c r="C679" s="20"/>
    </row>
    <row r="680" spans="1:3">
      <c r="A680" s="20"/>
      <c r="B680" s="20"/>
      <c r="C680" s="20"/>
    </row>
    <row r="681" spans="1:3">
      <c r="A681" s="20"/>
      <c r="B681" s="20"/>
      <c r="C681" s="20"/>
    </row>
    <row r="682" spans="1:3">
      <c r="A682" s="20"/>
      <c r="B682" s="20"/>
      <c r="C682" s="20"/>
    </row>
    <row r="683" spans="1:3">
      <c r="A683" s="20"/>
      <c r="B683" s="20"/>
      <c r="C683" s="20"/>
    </row>
    <row r="684" spans="1:3">
      <c r="A684" s="20"/>
      <c r="B684" s="20"/>
      <c r="C684" s="20"/>
    </row>
    <row r="685" spans="1:3">
      <c r="A685" s="20"/>
      <c r="B685" s="20"/>
      <c r="C685" s="20"/>
    </row>
    <row r="686" spans="1:3">
      <c r="A686" s="20"/>
      <c r="B686" s="20"/>
      <c r="C686" s="20"/>
    </row>
    <row r="687" spans="1:3">
      <c r="A687" s="20"/>
      <c r="B687" s="20"/>
      <c r="C687" s="20"/>
    </row>
    <row r="688" spans="1:3">
      <c r="A688" s="20"/>
      <c r="B688" s="20"/>
      <c r="C688" s="20"/>
    </row>
    <row r="689" spans="1:3">
      <c r="A689" s="20"/>
      <c r="B689" s="20"/>
      <c r="C689" s="20"/>
    </row>
    <row r="690" spans="1:3">
      <c r="A690" s="20"/>
      <c r="B690" s="20"/>
      <c r="C690" s="20"/>
    </row>
    <row r="691" spans="1:3">
      <c r="A691" s="20"/>
      <c r="B691" s="20"/>
      <c r="C691" s="20"/>
    </row>
    <row r="692" spans="1:3">
      <c r="A692" s="20"/>
      <c r="B692" s="20"/>
      <c r="C692" s="20"/>
    </row>
    <row r="693" spans="1:3">
      <c r="A693" s="20"/>
      <c r="B693" s="20"/>
      <c r="C693" s="20"/>
    </row>
    <row r="694" spans="1:3">
      <c r="A694" s="20"/>
      <c r="B694" s="20"/>
      <c r="C694" s="20"/>
    </row>
    <row r="695" spans="1:3">
      <c r="A695" s="20"/>
      <c r="B695" s="20"/>
      <c r="C695" s="20"/>
    </row>
    <row r="696" spans="1:3">
      <c r="A696" s="20"/>
      <c r="B696" s="20"/>
      <c r="C696" s="20"/>
    </row>
    <row r="697" spans="1:3">
      <c r="A697" s="20"/>
      <c r="B697" s="20"/>
      <c r="C697" s="20"/>
    </row>
    <row r="698" spans="1:3">
      <c r="A698" s="20"/>
      <c r="B698" s="20"/>
      <c r="C698" s="20"/>
    </row>
    <row r="699" spans="1:3">
      <c r="A699" s="20"/>
      <c r="B699" s="20"/>
      <c r="C699" s="20"/>
    </row>
    <row r="700" spans="1:3">
      <c r="A700" s="20"/>
      <c r="B700" s="20"/>
      <c r="C700" s="20"/>
    </row>
    <row r="701" spans="1:3">
      <c r="A701" s="20"/>
      <c r="B701" s="20"/>
      <c r="C701" s="20"/>
    </row>
    <row r="702" spans="1:3">
      <c r="A702" s="20"/>
      <c r="B702" s="20"/>
      <c r="C702" s="20"/>
    </row>
    <row r="703" spans="1:3">
      <c r="A703" s="20"/>
      <c r="B703" s="20"/>
      <c r="C703" s="20"/>
    </row>
    <row r="704" spans="1:3">
      <c r="A704" s="20"/>
      <c r="B704" s="20"/>
      <c r="C704" s="20"/>
    </row>
    <row r="705" spans="1:3">
      <c r="A705" s="20"/>
      <c r="B705" s="20"/>
      <c r="C705" s="20"/>
    </row>
    <row r="706" spans="1:3">
      <c r="A706" s="20"/>
      <c r="B706" s="20"/>
      <c r="C706" s="20"/>
    </row>
    <row r="707" spans="1:3">
      <c r="A707" s="20"/>
      <c r="B707" s="20"/>
      <c r="C707" s="20"/>
    </row>
    <row r="708" spans="1:3">
      <c r="A708" s="20"/>
      <c r="B708" s="20"/>
      <c r="C708" s="20"/>
    </row>
    <row r="709" spans="1:3">
      <c r="A709" s="20"/>
      <c r="B709" s="20"/>
      <c r="C709" s="20"/>
    </row>
    <row r="710" spans="1:3">
      <c r="A710" s="20"/>
      <c r="B710" s="20"/>
      <c r="C710" s="20"/>
    </row>
    <row r="711" spans="1:3">
      <c r="A711" s="20"/>
      <c r="B711" s="20"/>
      <c r="C711" s="20"/>
    </row>
    <row r="712" spans="1:3">
      <c r="A712" s="20"/>
      <c r="B712" s="20"/>
      <c r="C712" s="20"/>
    </row>
    <row r="713" spans="1:3">
      <c r="A713" s="20"/>
      <c r="B713" s="20"/>
      <c r="C713" s="20"/>
    </row>
    <row r="714" spans="1:3">
      <c r="A714" s="20"/>
      <c r="B714" s="20"/>
      <c r="C714" s="20"/>
    </row>
    <row r="715" spans="1:3">
      <c r="A715" s="20"/>
      <c r="B715" s="20"/>
      <c r="C715" s="20"/>
    </row>
    <row r="716" spans="1:3">
      <c r="A716" s="20"/>
      <c r="B716" s="20"/>
      <c r="C716" s="20"/>
    </row>
    <row r="717" spans="1:3">
      <c r="A717" s="20"/>
      <c r="B717" s="20"/>
      <c r="C717" s="20"/>
    </row>
    <row r="718" spans="1:3">
      <c r="A718" s="20"/>
      <c r="B718" s="20"/>
      <c r="C718" s="20"/>
    </row>
    <row r="719" spans="1:3">
      <c r="A719" s="20"/>
      <c r="B719" s="20"/>
      <c r="C719" s="20"/>
    </row>
    <row r="720" spans="1:3">
      <c r="A720" s="20"/>
      <c r="B720" s="20"/>
      <c r="C720" s="20"/>
    </row>
    <row r="721" spans="1:3">
      <c r="A721" s="20"/>
      <c r="B721" s="20"/>
      <c r="C721" s="20"/>
    </row>
    <row r="722" spans="1:3">
      <c r="A722" s="20"/>
      <c r="B722" s="20"/>
      <c r="C722" s="20"/>
    </row>
    <row r="723" spans="1:3">
      <c r="A723" s="20"/>
      <c r="B723" s="20"/>
      <c r="C723" s="20"/>
    </row>
    <row r="724" spans="1:3">
      <c r="A724" s="20"/>
      <c r="B724" s="20"/>
      <c r="C724" s="20"/>
    </row>
    <row r="725" spans="1:3">
      <c r="A725" s="20"/>
      <c r="B725" s="20"/>
      <c r="C725" s="20"/>
    </row>
    <row r="726" spans="1:3">
      <c r="A726" s="20"/>
      <c r="B726" s="20"/>
      <c r="C726" s="20"/>
    </row>
    <row r="727" spans="1:3">
      <c r="A727" s="20"/>
      <c r="B727" s="20"/>
      <c r="C727" s="20"/>
    </row>
    <row r="728" spans="1:3">
      <c r="A728" s="20"/>
      <c r="B728" s="20"/>
      <c r="C728" s="20"/>
    </row>
    <row r="729" spans="1:3">
      <c r="A729" s="20"/>
      <c r="B729" s="20"/>
      <c r="C729" s="20"/>
    </row>
    <row r="730" spans="1:3">
      <c r="A730" s="20"/>
      <c r="B730" s="20"/>
      <c r="C730" s="20"/>
    </row>
    <row r="731" spans="1:3">
      <c r="A731" s="20"/>
      <c r="B731" s="20"/>
      <c r="C731" s="20"/>
    </row>
    <row r="732" spans="1:3">
      <c r="A732" s="20"/>
      <c r="B732" s="20"/>
      <c r="C732" s="20"/>
    </row>
    <row r="733" spans="1:3">
      <c r="A733" s="20"/>
      <c r="B733" s="20"/>
      <c r="C733" s="20"/>
    </row>
    <row r="734" spans="1:3">
      <c r="A734" s="20"/>
      <c r="B734" s="20"/>
      <c r="C734" s="20"/>
    </row>
    <row r="735" spans="1:3">
      <c r="A735" s="20"/>
      <c r="B735" s="20"/>
      <c r="C735" s="20"/>
    </row>
    <row r="736" spans="1:3">
      <c r="A736" s="20"/>
      <c r="B736" s="20"/>
      <c r="C736" s="20"/>
    </row>
    <row r="737" spans="1:3">
      <c r="A737" s="20"/>
      <c r="B737" s="20"/>
      <c r="C737" s="20"/>
    </row>
    <row r="738" spans="1:3">
      <c r="A738" s="20"/>
      <c r="B738" s="20"/>
      <c r="C738" s="20"/>
    </row>
    <row r="739" spans="1:3">
      <c r="A739" s="20"/>
      <c r="B739" s="20"/>
      <c r="C739" s="20"/>
    </row>
    <row r="740" spans="1:3">
      <c r="A740" s="20"/>
      <c r="B740" s="20"/>
      <c r="C740" s="20"/>
    </row>
    <row r="741" spans="1:3">
      <c r="A741" s="20"/>
      <c r="B741" s="20"/>
      <c r="C741" s="20"/>
    </row>
    <row r="742" spans="1:3">
      <c r="A742" s="20"/>
      <c r="B742" s="20"/>
      <c r="C742" s="20"/>
    </row>
    <row r="743" spans="1:3">
      <c r="A743" s="20"/>
      <c r="B743" s="20"/>
      <c r="C743" s="20"/>
    </row>
    <row r="744" spans="1:3">
      <c r="A744" s="20"/>
      <c r="B744" s="20"/>
      <c r="C744" s="20"/>
    </row>
    <row r="745" spans="1:3">
      <c r="A745" s="20"/>
      <c r="B745" s="20"/>
      <c r="C745" s="20"/>
    </row>
    <row r="746" spans="1:3">
      <c r="A746" s="20"/>
      <c r="B746" s="20"/>
      <c r="C746" s="20"/>
    </row>
    <row r="747" spans="1:3">
      <c r="A747" s="20"/>
      <c r="B747" s="20"/>
      <c r="C747" s="20"/>
    </row>
    <row r="748" spans="1:3">
      <c r="A748" s="20"/>
      <c r="B748" s="20"/>
      <c r="C748" s="20"/>
    </row>
    <row r="749" spans="1:3">
      <c r="A749" s="20"/>
      <c r="B749" s="20"/>
      <c r="C749" s="20"/>
    </row>
    <row r="750" spans="1:3">
      <c r="A750" s="20"/>
      <c r="B750" s="20"/>
      <c r="C750" s="20"/>
    </row>
    <row r="751" spans="1:3">
      <c r="A751" s="20"/>
      <c r="B751" s="20"/>
      <c r="C751" s="20"/>
    </row>
    <row r="752" spans="1:3">
      <c r="A752" s="20"/>
      <c r="B752" s="20"/>
      <c r="C752" s="20"/>
    </row>
    <row r="753" spans="1:3">
      <c r="A753" s="20"/>
      <c r="B753" s="20"/>
      <c r="C753" s="20"/>
    </row>
    <row r="754" spans="1:3">
      <c r="A754" s="20"/>
      <c r="B754" s="20"/>
      <c r="C754" s="20"/>
    </row>
    <row r="755" spans="1:3">
      <c r="A755" s="20"/>
      <c r="B755" s="20"/>
      <c r="C755" s="20"/>
    </row>
    <row r="756" spans="1:3">
      <c r="A756" s="20"/>
      <c r="B756" s="20"/>
      <c r="C756" s="20"/>
    </row>
    <row r="757" spans="1:3">
      <c r="A757" s="20"/>
      <c r="B757" s="20"/>
      <c r="C757" s="20"/>
    </row>
    <row r="758" spans="1:3">
      <c r="A758" s="20"/>
      <c r="B758" s="20"/>
      <c r="C758" s="20"/>
    </row>
    <row r="759" spans="1:3">
      <c r="A759" s="20"/>
      <c r="B759" s="20"/>
      <c r="C759" s="20"/>
    </row>
    <row r="760" spans="1:3">
      <c r="A760" s="20"/>
      <c r="B760" s="20"/>
      <c r="C760" s="20"/>
    </row>
    <row r="761" spans="1:3">
      <c r="A761" s="20"/>
      <c r="B761" s="20"/>
      <c r="C761" s="20"/>
    </row>
    <row r="762" spans="1:3">
      <c r="A762" s="20"/>
      <c r="B762" s="20"/>
      <c r="C762" s="20"/>
    </row>
    <row r="763" spans="1:3">
      <c r="A763" s="20"/>
      <c r="B763" s="20"/>
      <c r="C763" s="20"/>
    </row>
    <row r="764" spans="1:3">
      <c r="A764" s="20"/>
      <c r="B764" s="20"/>
      <c r="C764" s="20"/>
    </row>
    <row r="765" spans="1:3">
      <c r="A765" s="20"/>
      <c r="B765" s="20"/>
      <c r="C765" s="20"/>
    </row>
    <row r="766" spans="1:3">
      <c r="A766" s="20"/>
      <c r="B766" s="20"/>
      <c r="C766" s="20"/>
    </row>
    <row r="767" spans="1:3">
      <c r="A767" s="20"/>
      <c r="B767" s="20"/>
      <c r="C767" s="20"/>
    </row>
    <row r="768" spans="1:3">
      <c r="A768" s="20"/>
      <c r="B768" s="20"/>
      <c r="C768" s="20"/>
    </row>
    <row r="769" spans="1:3">
      <c r="A769" s="20"/>
      <c r="B769" s="20"/>
      <c r="C769" s="20"/>
    </row>
    <row r="770" spans="1:3">
      <c r="A770" s="20"/>
      <c r="B770" s="20"/>
      <c r="C770" s="20"/>
    </row>
    <row r="771" spans="1:3">
      <c r="A771" s="20"/>
      <c r="B771" s="20"/>
      <c r="C771" s="20"/>
    </row>
    <row r="772" spans="1:3">
      <c r="A772" s="20"/>
      <c r="B772" s="20"/>
      <c r="C772" s="20"/>
    </row>
    <row r="773" spans="1:3">
      <c r="A773" s="20"/>
      <c r="B773" s="20"/>
      <c r="C773" s="20"/>
    </row>
    <row r="774" spans="1:3">
      <c r="A774" s="20"/>
      <c r="B774" s="20"/>
      <c r="C774" s="20"/>
    </row>
    <row r="775" spans="1:3">
      <c r="A775" s="20"/>
      <c r="B775" s="20"/>
      <c r="C775" s="20"/>
    </row>
    <row r="776" spans="1:3">
      <c r="A776" s="20"/>
      <c r="B776" s="20"/>
      <c r="C776" s="20"/>
    </row>
    <row r="777" spans="1:3">
      <c r="A777" s="20"/>
      <c r="B777" s="20"/>
      <c r="C777" s="20"/>
    </row>
    <row r="778" spans="1:3">
      <c r="A778" s="20"/>
      <c r="B778" s="20"/>
      <c r="C778" s="20"/>
    </row>
    <row r="779" spans="1:3">
      <c r="A779" s="20"/>
      <c r="B779" s="20"/>
      <c r="C779" s="20"/>
    </row>
    <row r="780" spans="1:3">
      <c r="A780" s="20"/>
      <c r="B780" s="20"/>
      <c r="C780" s="20"/>
    </row>
    <row r="781" spans="1:3">
      <c r="A781" s="20"/>
      <c r="B781" s="20"/>
      <c r="C781" s="20"/>
    </row>
    <row r="782" spans="1:3">
      <c r="A782" s="20"/>
      <c r="B782" s="20"/>
      <c r="C782" s="20"/>
    </row>
    <row r="783" spans="1:3">
      <c r="A783" s="20"/>
      <c r="B783" s="20"/>
      <c r="C783" s="20"/>
    </row>
    <row r="784" spans="1:3">
      <c r="A784" s="20"/>
      <c r="B784" s="20"/>
      <c r="C784" s="20"/>
    </row>
    <row r="785" spans="1:3">
      <c r="A785" s="20"/>
      <c r="B785" s="20"/>
      <c r="C785" s="20"/>
    </row>
    <row r="786" spans="1:3">
      <c r="A786" s="20"/>
      <c r="B786" s="20"/>
      <c r="C786" s="20"/>
    </row>
    <row r="787" spans="1:3">
      <c r="A787" s="20"/>
      <c r="B787" s="20"/>
      <c r="C787" s="20"/>
    </row>
    <row r="788" spans="1:3">
      <c r="A788" s="20"/>
      <c r="B788" s="20"/>
      <c r="C788" s="20"/>
    </row>
    <row r="789" spans="1:3">
      <c r="A789" s="20"/>
      <c r="B789" s="20"/>
      <c r="C789" s="20"/>
    </row>
    <row r="790" spans="1:3">
      <c r="A790" s="20"/>
      <c r="B790" s="20"/>
      <c r="C790" s="20"/>
    </row>
    <row r="791" spans="1:3">
      <c r="A791" s="20"/>
      <c r="B791" s="20"/>
      <c r="C791" s="20"/>
    </row>
    <row r="792" spans="1:3">
      <c r="A792" s="20"/>
      <c r="B792" s="20"/>
      <c r="C792" s="20"/>
    </row>
    <row r="793" spans="1:3">
      <c r="A793" s="20"/>
      <c r="B793" s="20"/>
      <c r="C793" s="20"/>
    </row>
    <row r="794" spans="1:3">
      <c r="A794" s="20"/>
      <c r="B794" s="20"/>
      <c r="C794" s="20"/>
    </row>
    <row r="795" spans="1:3">
      <c r="A795" s="20"/>
      <c r="B795" s="20"/>
      <c r="C795" s="20"/>
    </row>
    <row r="796" spans="1:3">
      <c r="A796" s="20"/>
      <c r="B796" s="20"/>
      <c r="C796" s="20"/>
    </row>
    <row r="797" spans="1:3">
      <c r="A797" s="20"/>
      <c r="B797" s="20"/>
      <c r="C797" s="20"/>
    </row>
    <row r="798" spans="1:3">
      <c r="A798" s="20"/>
      <c r="B798" s="20"/>
      <c r="C798" s="20"/>
    </row>
    <row r="799" spans="1:3">
      <c r="A799" s="20"/>
      <c r="B799" s="20"/>
      <c r="C799" s="20"/>
    </row>
    <row r="800" spans="1:3">
      <c r="A800" s="20"/>
      <c r="B800" s="20"/>
      <c r="C800" s="20"/>
    </row>
    <row r="801" spans="1:3">
      <c r="A801" s="20"/>
      <c r="B801" s="20"/>
      <c r="C801" s="20"/>
    </row>
    <row r="802" spans="1:3">
      <c r="A802" s="20"/>
      <c r="B802" s="20"/>
      <c r="C802" s="20"/>
    </row>
    <row r="803" spans="1:3">
      <c r="A803" s="20"/>
      <c r="B803" s="20"/>
      <c r="C803" s="20"/>
    </row>
    <row r="804" spans="1:3">
      <c r="A804" s="20"/>
      <c r="B804" s="20"/>
      <c r="C804" s="20"/>
    </row>
    <row r="805" spans="1:3">
      <c r="A805" s="20"/>
      <c r="B805" s="20"/>
      <c r="C805" s="20"/>
    </row>
    <row r="806" spans="1:3">
      <c r="A806" s="20"/>
      <c r="B806" s="20"/>
      <c r="C806" s="20"/>
    </row>
    <row r="807" spans="1:3">
      <c r="A807" s="20"/>
      <c r="B807" s="20"/>
      <c r="C807" s="20"/>
    </row>
    <row r="808" spans="1:3">
      <c r="A808" s="20"/>
      <c r="B808" s="20"/>
      <c r="C808" s="20"/>
    </row>
    <row r="809" spans="1:3">
      <c r="A809" s="20"/>
      <c r="B809" s="20"/>
      <c r="C809" s="20"/>
    </row>
    <row r="810" spans="1:3">
      <c r="A810" s="20"/>
      <c r="B810" s="20"/>
      <c r="C810" s="20"/>
    </row>
    <row r="811" spans="1:3">
      <c r="A811" s="20"/>
      <c r="B811" s="20"/>
      <c r="C811" s="20"/>
    </row>
    <row r="812" spans="1:3">
      <c r="A812" s="20"/>
      <c r="B812" s="20"/>
      <c r="C812" s="20"/>
    </row>
    <row r="813" spans="1:3">
      <c r="A813" s="20"/>
      <c r="B813" s="20"/>
      <c r="C813" s="20"/>
    </row>
    <row r="814" spans="1:3">
      <c r="A814" s="20"/>
      <c r="B814" s="20"/>
      <c r="C814" s="20"/>
    </row>
    <row r="815" spans="1:3">
      <c r="A815" s="20"/>
      <c r="B815" s="20"/>
      <c r="C815" s="20"/>
    </row>
    <row r="816" spans="1:3">
      <c r="A816" s="20"/>
      <c r="B816" s="20"/>
      <c r="C816" s="20"/>
    </row>
    <row r="817" spans="1:3">
      <c r="A817" s="20"/>
      <c r="B817" s="20"/>
      <c r="C817" s="20"/>
    </row>
    <row r="818" spans="1:3">
      <c r="A818" s="20"/>
      <c r="B818" s="20"/>
      <c r="C818" s="20"/>
    </row>
    <row r="819" spans="1:3">
      <c r="A819" s="20"/>
      <c r="B819" s="20"/>
      <c r="C819" s="20"/>
    </row>
    <row r="820" spans="1:3">
      <c r="A820" s="20"/>
      <c r="B820" s="20"/>
      <c r="C820" s="20"/>
    </row>
    <row r="821" spans="1:3">
      <c r="A821" s="20"/>
      <c r="B821" s="20"/>
      <c r="C821" s="20"/>
    </row>
    <row r="822" spans="1:3">
      <c r="A822" s="20"/>
      <c r="B822" s="20"/>
      <c r="C822" s="20"/>
    </row>
    <row r="823" spans="1:3">
      <c r="A823" s="20"/>
      <c r="B823" s="20"/>
      <c r="C823" s="20"/>
    </row>
    <row r="824" spans="1:3">
      <c r="A824" s="20"/>
      <c r="B824" s="20"/>
      <c r="C824" s="20"/>
    </row>
    <row r="825" spans="1:3">
      <c r="A825" s="20"/>
      <c r="B825" s="20"/>
      <c r="C825" s="20"/>
    </row>
    <row r="826" spans="1:3">
      <c r="A826" s="20"/>
      <c r="B826" s="20"/>
      <c r="C826" s="20"/>
    </row>
    <row r="827" spans="1:3">
      <c r="A827" s="20"/>
      <c r="B827" s="20"/>
      <c r="C827" s="20"/>
    </row>
    <row r="828" spans="1:3">
      <c r="A828" s="20"/>
      <c r="B828" s="20"/>
      <c r="C828" s="20"/>
    </row>
    <row r="829" spans="1:3">
      <c r="A829" s="20"/>
      <c r="B829" s="20"/>
      <c r="C829" s="20"/>
    </row>
    <row r="830" spans="1:3">
      <c r="A830" s="20"/>
      <c r="B830" s="20"/>
      <c r="C830" s="20"/>
    </row>
    <row r="831" spans="1:3">
      <c r="A831" s="20"/>
      <c r="B831" s="20"/>
      <c r="C831" s="20"/>
    </row>
    <row r="832" spans="1:3">
      <c r="A832" s="20"/>
      <c r="B832" s="20"/>
      <c r="C832" s="20"/>
    </row>
    <row r="833" spans="1:3">
      <c r="A833" s="20"/>
      <c r="B833" s="20"/>
      <c r="C833" s="20"/>
    </row>
    <row r="834" spans="1:3">
      <c r="A834" s="20"/>
      <c r="B834" s="20"/>
      <c r="C834" s="20"/>
    </row>
    <row r="835" spans="1:3">
      <c r="A835" s="20"/>
      <c r="B835" s="20"/>
      <c r="C835" s="20"/>
    </row>
    <row r="836" spans="1:3">
      <c r="A836" s="20"/>
      <c r="B836" s="20"/>
      <c r="C836" s="20"/>
    </row>
    <row r="837" spans="1:3">
      <c r="A837" s="20"/>
      <c r="B837" s="20"/>
      <c r="C837" s="20"/>
    </row>
    <row r="838" spans="1:3">
      <c r="A838" s="20"/>
      <c r="B838" s="20"/>
      <c r="C838" s="20"/>
    </row>
    <row r="839" spans="1:3">
      <c r="A839" s="20"/>
      <c r="B839" s="20"/>
      <c r="C839" s="20"/>
    </row>
    <row r="840" spans="1:3">
      <c r="A840" s="20"/>
      <c r="B840" s="20"/>
      <c r="C840" s="20"/>
    </row>
    <row r="841" spans="1:3">
      <c r="A841" s="20"/>
      <c r="B841" s="20"/>
      <c r="C841" s="20"/>
    </row>
    <row r="842" spans="1:3">
      <c r="A842" s="20"/>
      <c r="B842" s="20"/>
      <c r="C842" s="20"/>
    </row>
    <row r="843" spans="1:3">
      <c r="A843" s="20"/>
      <c r="B843" s="20"/>
      <c r="C843" s="20"/>
    </row>
    <row r="844" spans="1:3">
      <c r="A844" s="20"/>
      <c r="B844" s="20"/>
      <c r="C844" s="20"/>
    </row>
    <row r="845" spans="1:3">
      <c r="A845" s="20"/>
      <c r="B845" s="20"/>
      <c r="C845" s="20"/>
    </row>
    <row r="846" spans="1:3">
      <c r="A846" s="20"/>
      <c r="B846" s="20"/>
      <c r="C846" s="20"/>
    </row>
    <row r="847" spans="1:3">
      <c r="A847" s="20"/>
      <c r="B847" s="20"/>
      <c r="C847" s="20"/>
    </row>
    <row r="848" spans="1:3">
      <c r="A848" s="20"/>
      <c r="B848" s="20"/>
      <c r="C848" s="20"/>
    </row>
    <row r="849" spans="1:3">
      <c r="A849" s="20"/>
      <c r="B849" s="20"/>
      <c r="C849" s="20"/>
    </row>
    <row r="850" spans="1:3">
      <c r="A850" s="20"/>
      <c r="B850" s="20"/>
      <c r="C850" s="20"/>
    </row>
    <row r="851" spans="1:3">
      <c r="A851" s="20"/>
      <c r="B851" s="20"/>
      <c r="C851" s="20"/>
    </row>
    <row r="852" spans="1:3">
      <c r="A852" s="20"/>
      <c r="B852" s="20"/>
      <c r="C852" s="20"/>
    </row>
    <row r="853" spans="1:3">
      <c r="A853" s="20"/>
      <c r="B853" s="20"/>
      <c r="C853" s="20"/>
    </row>
    <row r="854" spans="1:3">
      <c r="A854" s="20"/>
      <c r="B854" s="20"/>
      <c r="C854" s="20"/>
    </row>
    <row r="855" spans="1:3">
      <c r="A855" s="20"/>
      <c r="B855" s="20"/>
      <c r="C855" s="20"/>
    </row>
    <row r="856" spans="1:3">
      <c r="A856" s="20"/>
      <c r="B856" s="20"/>
      <c r="C856" s="20"/>
    </row>
    <row r="857" spans="1:3">
      <c r="A857" s="20"/>
      <c r="B857" s="20"/>
      <c r="C857" s="20"/>
    </row>
    <row r="858" spans="1:3">
      <c r="A858" s="20"/>
      <c r="B858" s="20"/>
      <c r="C858" s="20"/>
    </row>
    <row r="859" spans="1:3">
      <c r="A859" s="20"/>
      <c r="B859" s="20"/>
      <c r="C859" s="20"/>
    </row>
    <row r="860" spans="1:3">
      <c r="A860" s="20"/>
      <c r="B860" s="20"/>
      <c r="C860" s="20"/>
    </row>
    <row r="861" spans="1:3">
      <c r="A861" s="20"/>
      <c r="B861" s="20"/>
      <c r="C861" s="20"/>
    </row>
    <row r="862" spans="1:3">
      <c r="A862" s="20"/>
      <c r="B862" s="20"/>
      <c r="C862" s="20"/>
    </row>
    <row r="863" spans="1:3">
      <c r="A863" s="20"/>
      <c r="B863" s="20"/>
      <c r="C863" s="20"/>
    </row>
    <row r="864" spans="1:3">
      <c r="A864" s="20"/>
      <c r="B864" s="20"/>
      <c r="C864" s="20"/>
    </row>
    <row r="865" spans="1:3">
      <c r="A865" s="20"/>
      <c r="B865" s="20"/>
      <c r="C865" s="20"/>
    </row>
    <row r="866" spans="1:3">
      <c r="A866" s="20"/>
      <c r="B866" s="20"/>
      <c r="C866" s="20"/>
    </row>
    <row r="867" spans="1:3">
      <c r="A867" s="20"/>
      <c r="B867" s="20"/>
      <c r="C867" s="20"/>
    </row>
    <row r="868" spans="1:3">
      <c r="A868" s="20"/>
      <c r="B868" s="20"/>
      <c r="C868" s="20"/>
    </row>
    <row r="869" spans="1:3">
      <c r="A869" s="20"/>
      <c r="B869" s="20"/>
      <c r="C869" s="20"/>
    </row>
    <row r="870" spans="1:3">
      <c r="A870" s="20"/>
      <c r="B870" s="20"/>
      <c r="C870" s="20"/>
    </row>
    <row r="871" spans="1:3">
      <c r="A871" s="20"/>
      <c r="B871" s="20"/>
      <c r="C871" s="20"/>
    </row>
    <row r="872" spans="1:3">
      <c r="A872" s="20"/>
      <c r="B872" s="20"/>
      <c r="C872" s="20"/>
    </row>
    <row r="873" spans="1:3">
      <c r="A873" s="20"/>
      <c r="B873" s="20"/>
      <c r="C873" s="20"/>
    </row>
    <row r="874" spans="1:3">
      <c r="A874" s="20"/>
      <c r="B874" s="20"/>
      <c r="C874" s="20"/>
    </row>
    <row r="875" spans="1:3">
      <c r="A875" s="20"/>
      <c r="B875" s="20"/>
      <c r="C875" s="20"/>
    </row>
    <row r="876" spans="1:3">
      <c r="A876" s="20"/>
      <c r="B876" s="20"/>
      <c r="C876" s="20"/>
    </row>
    <row r="877" spans="1:3">
      <c r="A877" s="20"/>
      <c r="B877" s="20"/>
      <c r="C877" s="20"/>
    </row>
    <row r="878" spans="1:3">
      <c r="A878" s="20"/>
      <c r="B878" s="20"/>
      <c r="C878" s="20"/>
    </row>
    <row r="879" spans="1:3">
      <c r="A879" s="20"/>
      <c r="B879" s="20"/>
      <c r="C879" s="20"/>
    </row>
    <row r="880" spans="1:3">
      <c r="A880" s="20"/>
      <c r="B880" s="20"/>
      <c r="C880" s="20"/>
    </row>
    <row r="881" spans="1:3">
      <c r="A881" s="20"/>
      <c r="B881" s="20"/>
      <c r="C881" s="20"/>
    </row>
    <row r="882" spans="1:3">
      <c r="A882" s="20"/>
      <c r="B882" s="20"/>
      <c r="C882" s="20"/>
    </row>
    <row r="883" spans="1:3">
      <c r="A883" s="20"/>
      <c r="B883" s="20"/>
      <c r="C883" s="20"/>
    </row>
    <row r="884" spans="1:3">
      <c r="A884" s="20"/>
      <c r="B884" s="20"/>
      <c r="C884" s="20"/>
    </row>
    <row r="885" spans="1:3">
      <c r="A885" s="20"/>
      <c r="B885" s="20"/>
      <c r="C885" s="20"/>
    </row>
    <row r="886" spans="1:3">
      <c r="A886" s="20"/>
      <c r="B886" s="20"/>
      <c r="C886" s="20"/>
    </row>
    <row r="887" spans="1:3">
      <c r="A887" s="20"/>
      <c r="B887" s="20"/>
      <c r="C887" s="20"/>
    </row>
    <row r="888" spans="1:3">
      <c r="A888" s="20"/>
      <c r="B888" s="20"/>
      <c r="C888" s="20"/>
    </row>
    <row r="889" spans="1:3">
      <c r="A889" s="20"/>
      <c r="B889" s="20"/>
      <c r="C889" s="20"/>
    </row>
    <row r="890" spans="1:3">
      <c r="A890" s="20"/>
      <c r="B890" s="20"/>
      <c r="C890" s="20"/>
    </row>
    <row r="891" spans="1:3">
      <c r="A891" s="20"/>
      <c r="B891" s="20"/>
      <c r="C891" s="20"/>
    </row>
    <row r="892" spans="1:3">
      <c r="A892" s="20"/>
      <c r="B892" s="20"/>
      <c r="C892" s="20"/>
    </row>
    <row r="893" spans="1:3">
      <c r="A893" s="20"/>
      <c r="B893" s="20"/>
      <c r="C893" s="20"/>
    </row>
    <row r="894" spans="1:3">
      <c r="A894" s="20"/>
      <c r="B894" s="20"/>
      <c r="C894" s="20"/>
    </row>
    <row r="895" spans="1:3">
      <c r="A895" s="20"/>
      <c r="B895" s="20"/>
      <c r="C895" s="20"/>
    </row>
    <row r="896" spans="1:3">
      <c r="A896" s="20"/>
      <c r="B896" s="20"/>
      <c r="C896" s="20"/>
    </row>
    <row r="897" spans="1:3">
      <c r="A897" s="20"/>
      <c r="B897" s="20"/>
      <c r="C897" s="20"/>
    </row>
    <row r="898" spans="1:3">
      <c r="A898" s="20"/>
      <c r="B898" s="20"/>
      <c r="C898" s="20"/>
    </row>
    <row r="899" spans="1:3">
      <c r="A899" s="20"/>
      <c r="B899" s="20"/>
      <c r="C899" s="20"/>
    </row>
    <row r="900" spans="1:3">
      <c r="A900" s="20"/>
      <c r="B900" s="20"/>
      <c r="C900" s="20"/>
    </row>
    <row r="901" spans="1:3">
      <c r="A901" s="20"/>
      <c r="B901" s="20"/>
      <c r="C901" s="20"/>
    </row>
    <row r="902" spans="1:3">
      <c r="A902" s="20"/>
      <c r="B902" s="20"/>
      <c r="C902" s="20"/>
    </row>
    <row r="903" spans="1:3">
      <c r="A903" s="20"/>
      <c r="B903" s="20"/>
      <c r="C903" s="20"/>
    </row>
    <row r="904" spans="1:3">
      <c r="A904" s="20"/>
      <c r="B904" s="20"/>
      <c r="C904" s="20"/>
    </row>
    <row r="905" spans="1:3">
      <c r="A905" s="20"/>
      <c r="B905" s="20"/>
      <c r="C905" s="20"/>
    </row>
    <row r="906" spans="1:3">
      <c r="A906" s="20"/>
      <c r="B906" s="20"/>
      <c r="C906" s="20"/>
    </row>
    <row r="907" spans="1:3">
      <c r="A907" s="20"/>
      <c r="B907" s="20"/>
      <c r="C907" s="20"/>
    </row>
    <row r="908" spans="1:3">
      <c r="A908" s="20"/>
      <c r="B908" s="20"/>
      <c r="C908" s="20"/>
    </row>
    <row r="909" spans="1:3">
      <c r="A909" s="20"/>
      <c r="B909" s="20"/>
      <c r="C909" s="20"/>
    </row>
    <row r="910" spans="1:3">
      <c r="A910" s="20"/>
      <c r="B910" s="20"/>
      <c r="C910" s="20"/>
    </row>
    <row r="911" spans="1:3">
      <c r="A911" s="20"/>
      <c r="B911" s="20"/>
      <c r="C911" s="20"/>
    </row>
    <row r="912" spans="1:3">
      <c r="A912" s="20"/>
      <c r="B912" s="20"/>
      <c r="C912" s="20"/>
    </row>
  </sheetData>
  <mergeCells count="5">
    <mergeCell ref="A11:C11"/>
    <mergeCell ref="A10:C10"/>
    <mergeCell ref="B2:C2"/>
    <mergeCell ref="B3:C3"/>
    <mergeCell ref="B4:C4"/>
  </mergeCells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33"/>
  <sheetViews>
    <sheetView view="pageBreakPreview" topLeftCell="A692" zoomScale="96" zoomScaleNormal="100" zoomScaleSheetLayoutView="96" workbookViewId="0">
      <selection activeCell="F715" sqref="F715"/>
    </sheetView>
  </sheetViews>
  <sheetFormatPr defaultRowHeight="18" outlineLevelRow="7"/>
  <cols>
    <col min="1" max="1" width="49.44140625" style="38" customWidth="1"/>
    <col min="2" max="3" width="7.6640625" style="22" customWidth="1"/>
    <col min="4" max="4" width="16.109375" style="22" customWidth="1"/>
    <col min="5" max="5" width="9" style="22" customWidth="1"/>
    <col min="6" max="6" width="19.33203125" style="22" customWidth="1"/>
    <col min="7" max="7" width="18.44140625" style="52" hidden="1" customWidth="1"/>
    <col min="8" max="8" width="19.33203125" style="124" customWidth="1"/>
    <col min="9" max="9" width="18.33203125" style="2" customWidth="1"/>
    <col min="10" max="10" width="18.109375" style="2" customWidth="1"/>
    <col min="11" max="11" width="18" style="2" customWidth="1"/>
    <col min="12" max="12" width="20.44140625" style="129" customWidth="1"/>
    <col min="13" max="13" width="9.109375" style="2"/>
    <col min="14" max="14" width="16.33203125" style="2" bestFit="1" customWidth="1"/>
    <col min="15" max="245" width="9.109375" style="2"/>
    <col min="246" max="246" width="75.88671875" style="2" customWidth="1"/>
    <col min="247" max="248" width="7.6640625" style="2" customWidth="1"/>
    <col min="249" max="249" width="9.6640625" style="2" customWidth="1"/>
    <col min="250" max="250" width="7.6640625" style="2" customWidth="1"/>
    <col min="251" max="254" width="0" style="2" hidden="1" customWidth="1"/>
    <col min="255" max="255" width="14.33203125" style="2" customWidth="1"/>
    <col min="256" max="261" width="0" style="2" hidden="1" customWidth="1"/>
    <col min="262" max="262" width="10.109375" style="2" bestFit="1" customWidth="1"/>
    <col min="263" max="501" width="9.109375" style="2"/>
    <col min="502" max="502" width="75.88671875" style="2" customWidth="1"/>
    <col min="503" max="504" width="7.6640625" style="2" customWidth="1"/>
    <col min="505" max="505" width="9.6640625" style="2" customWidth="1"/>
    <col min="506" max="506" width="7.6640625" style="2" customWidth="1"/>
    <col min="507" max="510" width="0" style="2" hidden="1" customWidth="1"/>
    <col min="511" max="511" width="14.33203125" style="2" customWidth="1"/>
    <col min="512" max="517" width="0" style="2" hidden="1" customWidth="1"/>
    <col min="518" max="518" width="10.109375" style="2" bestFit="1" customWidth="1"/>
    <col min="519" max="757" width="9.109375" style="2"/>
    <col min="758" max="758" width="75.88671875" style="2" customWidth="1"/>
    <col min="759" max="760" width="7.6640625" style="2" customWidth="1"/>
    <col min="761" max="761" width="9.6640625" style="2" customWidth="1"/>
    <col min="762" max="762" width="7.6640625" style="2" customWidth="1"/>
    <col min="763" max="766" width="0" style="2" hidden="1" customWidth="1"/>
    <col min="767" max="767" width="14.33203125" style="2" customWidth="1"/>
    <col min="768" max="773" width="0" style="2" hidden="1" customWidth="1"/>
    <col min="774" max="774" width="10.109375" style="2" bestFit="1" customWidth="1"/>
    <col min="775" max="1013" width="9.109375" style="2"/>
    <col min="1014" max="1014" width="75.88671875" style="2" customWidth="1"/>
    <col min="1015" max="1016" width="7.6640625" style="2" customWidth="1"/>
    <col min="1017" max="1017" width="9.6640625" style="2" customWidth="1"/>
    <col min="1018" max="1018" width="7.6640625" style="2" customWidth="1"/>
    <col min="1019" max="1022" width="0" style="2" hidden="1" customWidth="1"/>
    <col min="1023" max="1023" width="14.33203125" style="2" customWidth="1"/>
    <col min="1024" max="1029" width="0" style="2" hidden="1" customWidth="1"/>
    <col min="1030" max="1030" width="10.109375" style="2" bestFit="1" customWidth="1"/>
    <col min="1031" max="1269" width="9.109375" style="2"/>
    <col min="1270" max="1270" width="75.88671875" style="2" customWidth="1"/>
    <col min="1271" max="1272" width="7.6640625" style="2" customWidth="1"/>
    <col min="1273" max="1273" width="9.6640625" style="2" customWidth="1"/>
    <col min="1274" max="1274" width="7.6640625" style="2" customWidth="1"/>
    <col min="1275" max="1278" width="0" style="2" hidden="1" customWidth="1"/>
    <col min="1279" max="1279" width="14.33203125" style="2" customWidth="1"/>
    <col min="1280" max="1285" width="0" style="2" hidden="1" customWidth="1"/>
    <col min="1286" max="1286" width="10.109375" style="2" bestFit="1" customWidth="1"/>
    <col min="1287" max="1525" width="9.109375" style="2"/>
    <col min="1526" max="1526" width="75.88671875" style="2" customWidth="1"/>
    <col min="1527" max="1528" width="7.6640625" style="2" customWidth="1"/>
    <col min="1529" max="1529" width="9.6640625" style="2" customWidth="1"/>
    <col min="1530" max="1530" width="7.6640625" style="2" customWidth="1"/>
    <col min="1531" max="1534" width="0" style="2" hidden="1" customWidth="1"/>
    <col min="1535" max="1535" width="14.33203125" style="2" customWidth="1"/>
    <col min="1536" max="1541" width="0" style="2" hidden="1" customWidth="1"/>
    <col min="1542" max="1542" width="10.109375" style="2" bestFit="1" customWidth="1"/>
    <col min="1543" max="1781" width="9.109375" style="2"/>
    <col min="1782" max="1782" width="75.88671875" style="2" customWidth="1"/>
    <col min="1783" max="1784" width="7.6640625" style="2" customWidth="1"/>
    <col min="1785" max="1785" width="9.6640625" style="2" customWidth="1"/>
    <col min="1786" max="1786" width="7.6640625" style="2" customWidth="1"/>
    <col min="1787" max="1790" width="0" style="2" hidden="1" customWidth="1"/>
    <col min="1791" max="1791" width="14.33203125" style="2" customWidth="1"/>
    <col min="1792" max="1797" width="0" style="2" hidden="1" customWidth="1"/>
    <col min="1798" max="1798" width="10.109375" style="2" bestFit="1" customWidth="1"/>
    <col min="1799" max="2037" width="9.109375" style="2"/>
    <col min="2038" max="2038" width="75.88671875" style="2" customWidth="1"/>
    <col min="2039" max="2040" width="7.6640625" style="2" customWidth="1"/>
    <col min="2041" max="2041" width="9.6640625" style="2" customWidth="1"/>
    <col min="2042" max="2042" width="7.6640625" style="2" customWidth="1"/>
    <col min="2043" max="2046" width="0" style="2" hidden="1" customWidth="1"/>
    <col min="2047" max="2047" width="14.33203125" style="2" customWidth="1"/>
    <col min="2048" max="2053" width="0" style="2" hidden="1" customWidth="1"/>
    <col min="2054" max="2054" width="10.109375" style="2" bestFit="1" customWidth="1"/>
    <col min="2055" max="2293" width="9.109375" style="2"/>
    <col min="2294" max="2294" width="75.88671875" style="2" customWidth="1"/>
    <col min="2295" max="2296" width="7.6640625" style="2" customWidth="1"/>
    <col min="2297" max="2297" width="9.6640625" style="2" customWidth="1"/>
    <col min="2298" max="2298" width="7.6640625" style="2" customWidth="1"/>
    <col min="2299" max="2302" width="0" style="2" hidden="1" customWidth="1"/>
    <col min="2303" max="2303" width="14.33203125" style="2" customWidth="1"/>
    <col min="2304" max="2309" width="0" style="2" hidden="1" customWidth="1"/>
    <col min="2310" max="2310" width="10.109375" style="2" bestFit="1" customWidth="1"/>
    <col min="2311" max="2549" width="9.109375" style="2"/>
    <col min="2550" max="2550" width="75.88671875" style="2" customWidth="1"/>
    <col min="2551" max="2552" width="7.6640625" style="2" customWidth="1"/>
    <col min="2553" max="2553" width="9.6640625" style="2" customWidth="1"/>
    <col min="2554" max="2554" width="7.6640625" style="2" customWidth="1"/>
    <col min="2555" max="2558" width="0" style="2" hidden="1" customWidth="1"/>
    <col min="2559" max="2559" width="14.33203125" style="2" customWidth="1"/>
    <col min="2560" max="2565" width="0" style="2" hidden="1" customWidth="1"/>
    <col min="2566" max="2566" width="10.109375" style="2" bestFit="1" customWidth="1"/>
    <col min="2567" max="2805" width="9.109375" style="2"/>
    <col min="2806" max="2806" width="75.88671875" style="2" customWidth="1"/>
    <col min="2807" max="2808" width="7.6640625" style="2" customWidth="1"/>
    <col min="2809" max="2809" width="9.6640625" style="2" customWidth="1"/>
    <col min="2810" max="2810" width="7.6640625" style="2" customWidth="1"/>
    <col min="2811" max="2814" width="0" style="2" hidden="1" customWidth="1"/>
    <col min="2815" max="2815" width="14.33203125" style="2" customWidth="1"/>
    <col min="2816" max="2821" width="0" style="2" hidden="1" customWidth="1"/>
    <col min="2822" max="2822" width="10.109375" style="2" bestFit="1" customWidth="1"/>
    <col min="2823" max="3061" width="9.109375" style="2"/>
    <col min="3062" max="3062" width="75.88671875" style="2" customWidth="1"/>
    <col min="3063" max="3064" width="7.6640625" style="2" customWidth="1"/>
    <col min="3065" max="3065" width="9.6640625" style="2" customWidth="1"/>
    <col min="3066" max="3066" width="7.6640625" style="2" customWidth="1"/>
    <col min="3067" max="3070" width="0" style="2" hidden="1" customWidth="1"/>
    <col min="3071" max="3071" width="14.33203125" style="2" customWidth="1"/>
    <col min="3072" max="3077" width="0" style="2" hidden="1" customWidth="1"/>
    <col min="3078" max="3078" width="10.109375" style="2" bestFit="1" customWidth="1"/>
    <col min="3079" max="3317" width="9.109375" style="2"/>
    <col min="3318" max="3318" width="75.88671875" style="2" customWidth="1"/>
    <col min="3319" max="3320" width="7.6640625" style="2" customWidth="1"/>
    <col min="3321" max="3321" width="9.6640625" style="2" customWidth="1"/>
    <col min="3322" max="3322" width="7.6640625" style="2" customWidth="1"/>
    <col min="3323" max="3326" width="0" style="2" hidden="1" customWidth="1"/>
    <col min="3327" max="3327" width="14.33203125" style="2" customWidth="1"/>
    <col min="3328" max="3333" width="0" style="2" hidden="1" customWidth="1"/>
    <col min="3334" max="3334" width="10.109375" style="2" bestFit="1" customWidth="1"/>
    <col min="3335" max="3573" width="9.109375" style="2"/>
    <col min="3574" max="3574" width="75.88671875" style="2" customWidth="1"/>
    <col min="3575" max="3576" width="7.6640625" style="2" customWidth="1"/>
    <col min="3577" max="3577" width="9.6640625" style="2" customWidth="1"/>
    <col min="3578" max="3578" width="7.6640625" style="2" customWidth="1"/>
    <col min="3579" max="3582" width="0" style="2" hidden="1" customWidth="1"/>
    <col min="3583" max="3583" width="14.33203125" style="2" customWidth="1"/>
    <col min="3584" max="3589" width="0" style="2" hidden="1" customWidth="1"/>
    <col min="3590" max="3590" width="10.109375" style="2" bestFit="1" customWidth="1"/>
    <col min="3591" max="3829" width="9.109375" style="2"/>
    <col min="3830" max="3830" width="75.88671875" style="2" customWidth="1"/>
    <col min="3831" max="3832" width="7.6640625" style="2" customWidth="1"/>
    <col min="3833" max="3833" width="9.6640625" style="2" customWidth="1"/>
    <col min="3834" max="3834" width="7.6640625" style="2" customWidth="1"/>
    <col min="3835" max="3838" width="0" style="2" hidden="1" customWidth="1"/>
    <col min="3839" max="3839" width="14.33203125" style="2" customWidth="1"/>
    <col min="3840" max="3845" width="0" style="2" hidden="1" customWidth="1"/>
    <col min="3846" max="3846" width="10.109375" style="2" bestFit="1" customWidth="1"/>
    <col min="3847" max="4085" width="9.109375" style="2"/>
    <col min="4086" max="4086" width="75.88671875" style="2" customWidth="1"/>
    <col min="4087" max="4088" width="7.6640625" style="2" customWidth="1"/>
    <col min="4089" max="4089" width="9.6640625" style="2" customWidth="1"/>
    <col min="4090" max="4090" width="7.6640625" style="2" customWidth="1"/>
    <col min="4091" max="4094" width="0" style="2" hidden="1" customWidth="1"/>
    <col min="4095" max="4095" width="14.33203125" style="2" customWidth="1"/>
    <col min="4096" max="4101" width="0" style="2" hidden="1" customWidth="1"/>
    <col min="4102" max="4102" width="10.109375" style="2" bestFit="1" customWidth="1"/>
    <col min="4103" max="4341" width="9.109375" style="2"/>
    <col min="4342" max="4342" width="75.88671875" style="2" customWidth="1"/>
    <col min="4343" max="4344" width="7.6640625" style="2" customWidth="1"/>
    <col min="4345" max="4345" width="9.6640625" style="2" customWidth="1"/>
    <col min="4346" max="4346" width="7.6640625" style="2" customWidth="1"/>
    <col min="4347" max="4350" width="0" style="2" hidden="1" customWidth="1"/>
    <col min="4351" max="4351" width="14.33203125" style="2" customWidth="1"/>
    <col min="4352" max="4357" width="0" style="2" hidden="1" customWidth="1"/>
    <col min="4358" max="4358" width="10.109375" style="2" bestFit="1" customWidth="1"/>
    <col min="4359" max="4597" width="9.109375" style="2"/>
    <col min="4598" max="4598" width="75.88671875" style="2" customWidth="1"/>
    <col min="4599" max="4600" width="7.6640625" style="2" customWidth="1"/>
    <col min="4601" max="4601" width="9.6640625" style="2" customWidth="1"/>
    <col min="4602" max="4602" width="7.6640625" style="2" customWidth="1"/>
    <col min="4603" max="4606" width="0" style="2" hidden="1" customWidth="1"/>
    <col min="4607" max="4607" width="14.33203125" style="2" customWidth="1"/>
    <col min="4608" max="4613" width="0" style="2" hidden="1" customWidth="1"/>
    <col min="4614" max="4614" width="10.109375" style="2" bestFit="1" customWidth="1"/>
    <col min="4615" max="4853" width="9.109375" style="2"/>
    <col min="4854" max="4854" width="75.88671875" style="2" customWidth="1"/>
    <col min="4855" max="4856" width="7.6640625" style="2" customWidth="1"/>
    <col min="4857" max="4857" width="9.6640625" style="2" customWidth="1"/>
    <col min="4858" max="4858" width="7.6640625" style="2" customWidth="1"/>
    <col min="4859" max="4862" width="0" style="2" hidden="1" customWidth="1"/>
    <col min="4863" max="4863" width="14.33203125" style="2" customWidth="1"/>
    <col min="4864" max="4869" width="0" style="2" hidden="1" customWidth="1"/>
    <col min="4870" max="4870" width="10.109375" style="2" bestFit="1" customWidth="1"/>
    <col min="4871" max="5109" width="9.109375" style="2"/>
    <col min="5110" max="5110" width="75.88671875" style="2" customWidth="1"/>
    <col min="5111" max="5112" width="7.6640625" style="2" customWidth="1"/>
    <col min="5113" max="5113" width="9.6640625" style="2" customWidth="1"/>
    <col min="5114" max="5114" width="7.6640625" style="2" customWidth="1"/>
    <col min="5115" max="5118" width="0" style="2" hidden="1" customWidth="1"/>
    <col min="5119" max="5119" width="14.33203125" style="2" customWidth="1"/>
    <col min="5120" max="5125" width="0" style="2" hidden="1" customWidth="1"/>
    <col min="5126" max="5126" width="10.109375" style="2" bestFit="1" customWidth="1"/>
    <col min="5127" max="5365" width="9.109375" style="2"/>
    <col min="5366" max="5366" width="75.88671875" style="2" customWidth="1"/>
    <col min="5367" max="5368" width="7.6640625" style="2" customWidth="1"/>
    <col min="5369" max="5369" width="9.6640625" style="2" customWidth="1"/>
    <col min="5370" max="5370" width="7.6640625" style="2" customWidth="1"/>
    <col min="5371" max="5374" width="0" style="2" hidden="1" customWidth="1"/>
    <col min="5375" max="5375" width="14.33203125" style="2" customWidth="1"/>
    <col min="5376" max="5381" width="0" style="2" hidden="1" customWidth="1"/>
    <col min="5382" max="5382" width="10.109375" style="2" bestFit="1" customWidth="1"/>
    <col min="5383" max="5621" width="9.109375" style="2"/>
    <col min="5622" max="5622" width="75.88671875" style="2" customWidth="1"/>
    <col min="5623" max="5624" width="7.6640625" style="2" customWidth="1"/>
    <col min="5625" max="5625" width="9.6640625" style="2" customWidth="1"/>
    <col min="5626" max="5626" width="7.6640625" style="2" customWidth="1"/>
    <col min="5627" max="5630" width="0" style="2" hidden="1" customWidth="1"/>
    <col min="5631" max="5631" width="14.33203125" style="2" customWidth="1"/>
    <col min="5632" max="5637" width="0" style="2" hidden="1" customWidth="1"/>
    <col min="5638" max="5638" width="10.109375" style="2" bestFit="1" customWidth="1"/>
    <col min="5639" max="5877" width="9.109375" style="2"/>
    <col min="5878" max="5878" width="75.88671875" style="2" customWidth="1"/>
    <col min="5879" max="5880" width="7.6640625" style="2" customWidth="1"/>
    <col min="5881" max="5881" width="9.6640625" style="2" customWidth="1"/>
    <col min="5882" max="5882" width="7.6640625" style="2" customWidth="1"/>
    <col min="5883" max="5886" width="0" style="2" hidden="1" customWidth="1"/>
    <col min="5887" max="5887" width="14.33203125" style="2" customWidth="1"/>
    <col min="5888" max="5893" width="0" style="2" hidden="1" customWidth="1"/>
    <col min="5894" max="5894" width="10.109375" style="2" bestFit="1" customWidth="1"/>
    <col min="5895" max="6133" width="9.109375" style="2"/>
    <col min="6134" max="6134" width="75.88671875" style="2" customWidth="1"/>
    <col min="6135" max="6136" width="7.6640625" style="2" customWidth="1"/>
    <col min="6137" max="6137" width="9.6640625" style="2" customWidth="1"/>
    <col min="6138" max="6138" width="7.6640625" style="2" customWidth="1"/>
    <col min="6139" max="6142" width="0" style="2" hidden="1" customWidth="1"/>
    <col min="6143" max="6143" width="14.33203125" style="2" customWidth="1"/>
    <col min="6144" max="6149" width="0" style="2" hidden="1" customWidth="1"/>
    <col min="6150" max="6150" width="10.109375" style="2" bestFit="1" customWidth="1"/>
    <col min="6151" max="6389" width="9.109375" style="2"/>
    <col min="6390" max="6390" width="75.88671875" style="2" customWidth="1"/>
    <col min="6391" max="6392" width="7.6640625" style="2" customWidth="1"/>
    <col min="6393" max="6393" width="9.6640625" style="2" customWidth="1"/>
    <col min="6394" max="6394" width="7.6640625" style="2" customWidth="1"/>
    <col min="6395" max="6398" width="0" style="2" hidden="1" customWidth="1"/>
    <col min="6399" max="6399" width="14.33203125" style="2" customWidth="1"/>
    <col min="6400" max="6405" width="0" style="2" hidden="1" customWidth="1"/>
    <col min="6406" max="6406" width="10.109375" style="2" bestFit="1" customWidth="1"/>
    <col min="6407" max="6645" width="9.109375" style="2"/>
    <col min="6646" max="6646" width="75.88671875" style="2" customWidth="1"/>
    <col min="6647" max="6648" width="7.6640625" style="2" customWidth="1"/>
    <col min="6649" max="6649" width="9.6640625" style="2" customWidth="1"/>
    <col min="6650" max="6650" width="7.6640625" style="2" customWidth="1"/>
    <col min="6651" max="6654" width="0" style="2" hidden="1" customWidth="1"/>
    <col min="6655" max="6655" width="14.33203125" style="2" customWidth="1"/>
    <col min="6656" max="6661" width="0" style="2" hidden="1" customWidth="1"/>
    <col min="6662" max="6662" width="10.109375" style="2" bestFit="1" customWidth="1"/>
    <col min="6663" max="6901" width="9.109375" style="2"/>
    <col min="6902" max="6902" width="75.88671875" style="2" customWidth="1"/>
    <col min="6903" max="6904" width="7.6640625" style="2" customWidth="1"/>
    <col min="6905" max="6905" width="9.6640625" style="2" customWidth="1"/>
    <col min="6906" max="6906" width="7.6640625" style="2" customWidth="1"/>
    <col min="6907" max="6910" width="0" style="2" hidden="1" customWidth="1"/>
    <col min="6911" max="6911" width="14.33203125" style="2" customWidth="1"/>
    <col min="6912" max="6917" width="0" style="2" hidden="1" customWidth="1"/>
    <col min="6918" max="6918" width="10.109375" style="2" bestFit="1" customWidth="1"/>
    <col min="6919" max="7157" width="9.109375" style="2"/>
    <col min="7158" max="7158" width="75.88671875" style="2" customWidth="1"/>
    <col min="7159" max="7160" width="7.6640625" style="2" customWidth="1"/>
    <col min="7161" max="7161" width="9.6640625" style="2" customWidth="1"/>
    <col min="7162" max="7162" width="7.6640625" style="2" customWidth="1"/>
    <col min="7163" max="7166" width="0" style="2" hidden="1" customWidth="1"/>
    <col min="7167" max="7167" width="14.33203125" style="2" customWidth="1"/>
    <col min="7168" max="7173" width="0" style="2" hidden="1" customWidth="1"/>
    <col min="7174" max="7174" width="10.109375" style="2" bestFit="1" customWidth="1"/>
    <col min="7175" max="7413" width="9.109375" style="2"/>
    <col min="7414" max="7414" width="75.88671875" style="2" customWidth="1"/>
    <col min="7415" max="7416" width="7.6640625" style="2" customWidth="1"/>
    <col min="7417" max="7417" width="9.6640625" style="2" customWidth="1"/>
    <col min="7418" max="7418" width="7.6640625" style="2" customWidth="1"/>
    <col min="7419" max="7422" width="0" style="2" hidden="1" customWidth="1"/>
    <col min="7423" max="7423" width="14.33203125" style="2" customWidth="1"/>
    <col min="7424" max="7429" width="0" style="2" hidden="1" customWidth="1"/>
    <col min="7430" max="7430" width="10.109375" style="2" bestFit="1" customWidth="1"/>
    <col min="7431" max="7669" width="9.109375" style="2"/>
    <col min="7670" max="7670" width="75.88671875" style="2" customWidth="1"/>
    <col min="7671" max="7672" width="7.6640625" style="2" customWidth="1"/>
    <col min="7673" max="7673" width="9.6640625" style="2" customWidth="1"/>
    <col min="7674" max="7674" width="7.6640625" style="2" customWidth="1"/>
    <col min="7675" max="7678" width="0" style="2" hidden="1" customWidth="1"/>
    <col min="7679" max="7679" width="14.33203125" style="2" customWidth="1"/>
    <col min="7680" max="7685" width="0" style="2" hidden="1" customWidth="1"/>
    <col min="7686" max="7686" width="10.109375" style="2" bestFit="1" customWidth="1"/>
    <col min="7687" max="7925" width="9.109375" style="2"/>
    <col min="7926" max="7926" width="75.88671875" style="2" customWidth="1"/>
    <col min="7927" max="7928" width="7.6640625" style="2" customWidth="1"/>
    <col min="7929" max="7929" width="9.6640625" style="2" customWidth="1"/>
    <col min="7930" max="7930" width="7.6640625" style="2" customWidth="1"/>
    <col min="7931" max="7934" width="0" style="2" hidden="1" customWidth="1"/>
    <col min="7935" max="7935" width="14.33203125" style="2" customWidth="1"/>
    <col min="7936" max="7941" width="0" style="2" hidden="1" customWidth="1"/>
    <col min="7942" max="7942" width="10.109375" style="2" bestFit="1" customWidth="1"/>
    <col min="7943" max="8181" width="9.109375" style="2"/>
    <col min="8182" max="8182" width="75.88671875" style="2" customWidth="1"/>
    <col min="8183" max="8184" width="7.6640625" style="2" customWidth="1"/>
    <col min="8185" max="8185" width="9.6640625" style="2" customWidth="1"/>
    <col min="8186" max="8186" width="7.6640625" style="2" customWidth="1"/>
    <col min="8187" max="8190" width="0" style="2" hidden="1" customWidth="1"/>
    <col min="8191" max="8191" width="14.33203125" style="2" customWidth="1"/>
    <col min="8192" max="8197" width="0" style="2" hidden="1" customWidth="1"/>
    <col min="8198" max="8198" width="10.109375" style="2" bestFit="1" customWidth="1"/>
    <col min="8199" max="8437" width="9.109375" style="2"/>
    <col min="8438" max="8438" width="75.88671875" style="2" customWidth="1"/>
    <col min="8439" max="8440" width="7.6640625" style="2" customWidth="1"/>
    <col min="8441" max="8441" width="9.6640625" style="2" customWidth="1"/>
    <col min="8442" max="8442" width="7.6640625" style="2" customWidth="1"/>
    <col min="8443" max="8446" width="0" style="2" hidden="1" customWidth="1"/>
    <col min="8447" max="8447" width="14.33203125" style="2" customWidth="1"/>
    <col min="8448" max="8453" width="0" style="2" hidden="1" customWidth="1"/>
    <col min="8454" max="8454" width="10.109375" style="2" bestFit="1" customWidth="1"/>
    <col min="8455" max="8693" width="9.109375" style="2"/>
    <col min="8694" max="8694" width="75.88671875" style="2" customWidth="1"/>
    <col min="8695" max="8696" width="7.6640625" style="2" customWidth="1"/>
    <col min="8697" max="8697" width="9.6640625" style="2" customWidth="1"/>
    <col min="8698" max="8698" width="7.6640625" style="2" customWidth="1"/>
    <col min="8699" max="8702" width="0" style="2" hidden="1" customWidth="1"/>
    <col min="8703" max="8703" width="14.33203125" style="2" customWidth="1"/>
    <col min="8704" max="8709" width="0" style="2" hidden="1" customWidth="1"/>
    <col min="8710" max="8710" width="10.109375" style="2" bestFit="1" customWidth="1"/>
    <col min="8711" max="8949" width="9.109375" style="2"/>
    <col min="8950" max="8950" width="75.88671875" style="2" customWidth="1"/>
    <col min="8951" max="8952" width="7.6640625" style="2" customWidth="1"/>
    <col min="8953" max="8953" width="9.6640625" style="2" customWidth="1"/>
    <col min="8954" max="8954" width="7.6640625" style="2" customWidth="1"/>
    <col min="8955" max="8958" width="0" style="2" hidden="1" customWidth="1"/>
    <col min="8959" max="8959" width="14.33203125" style="2" customWidth="1"/>
    <col min="8960" max="8965" width="0" style="2" hidden="1" customWidth="1"/>
    <col min="8966" max="8966" width="10.109375" style="2" bestFit="1" customWidth="1"/>
    <col min="8967" max="9205" width="9.109375" style="2"/>
    <col min="9206" max="9206" width="75.88671875" style="2" customWidth="1"/>
    <col min="9207" max="9208" width="7.6640625" style="2" customWidth="1"/>
    <col min="9209" max="9209" width="9.6640625" style="2" customWidth="1"/>
    <col min="9210" max="9210" width="7.6640625" style="2" customWidth="1"/>
    <col min="9211" max="9214" width="0" style="2" hidden="1" customWidth="1"/>
    <col min="9215" max="9215" width="14.33203125" style="2" customWidth="1"/>
    <col min="9216" max="9221" width="0" style="2" hidden="1" customWidth="1"/>
    <col min="9222" max="9222" width="10.109375" style="2" bestFit="1" customWidth="1"/>
    <col min="9223" max="9461" width="9.109375" style="2"/>
    <col min="9462" max="9462" width="75.88671875" style="2" customWidth="1"/>
    <col min="9463" max="9464" width="7.6640625" style="2" customWidth="1"/>
    <col min="9465" max="9465" width="9.6640625" style="2" customWidth="1"/>
    <col min="9466" max="9466" width="7.6640625" style="2" customWidth="1"/>
    <col min="9467" max="9470" width="0" style="2" hidden="1" customWidth="1"/>
    <col min="9471" max="9471" width="14.33203125" style="2" customWidth="1"/>
    <col min="9472" max="9477" width="0" style="2" hidden="1" customWidth="1"/>
    <col min="9478" max="9478" width="10.109375" style="2" bestFit="1" customWidth="1"/>
    <col min="9479" max="9717" width="9.109375" style="2"/>
    <col min="9718" max="9718" width="75.88671875" style="2" customWidth="1"/>
    <col min="9719" max="9720" width="7.6640625" style="2" customWidth="1"/>
    <col min="9721" max="9721" width="9.6640625" style="2" customWidth="1"/>
    <col min="9722" max="9722" width="7.6640625" style="2" customWidth="1"/>
    <col min="9723" max="9726" width="0" style="2" hidden="1" customWidth="1"/>
    <col min="9727" max="9727" width="14.33203125" style="2" customWidth="1"/>
    <col min="9728" max="9733" width="0" style="2" hidden="1" customWidth="1"/>
    <col min="9734" max="9734" width="10.109375" style="2" bestFit="1" customWidth="1"/>
    <col min="9735" max="9973" width="9.109375" style="2"/>
    <col min="9974" max="9974" width="75.88671875" style="2" customWidth="1"/>
    <col min="9975" max="9976" width="7.6640625" style="2" customWidth="1"/>
    <col min="9977" max="9977" width="9.6640625" style="2" customWidth="1"/>
    <col min="9978" max="9978" width="7.6640625" style="2" customWidth="1"/>
    <col min="9979" max="9982" width="0" style="2" hidden="1" customWidth="1"/>
    <col min="9983" max="9983" width="14.33203125" style="2" customWidth="1"/>
    <col min="9984" max="9989" width="0" style="2" hidden="1" customWidth="1"/>
    <col min="9990" max="9990" width="10.109375" style="2" bestFit="1" customWidth="1"/>
    <col min="9991" max="10229" width="9.109375" style="2"/>
    <col min="10230" max="10230" width="75.88671875" style="2" customWidth="1"/>
    <col min="10231" max="10232" width="7.6640625" style="2" customWidth="1"/>
    <col min="10233" max="10233" width="9.6640625" style="2" customWidth="1"/>
    <col min="10234" max="10234" width="7.6640625" style="2" customWidth="1"/>
    <col min="10235" max="10238" width="0" style="2" hidden="1" customWidth="1"/>
    <col min="10239" max="10239" width="14.33203125" style="2" customWidth="1"/>
    <col min="10240" max="10245" width="0" style="2" hidden="1" customWidth="1"/>
    <col min="10246" max="10246" width="10.109375" style="2" bestFit="1" customWidth="1"/>
    <col min="10247" max="10485" width="9.109375" style="2"/>
    <col min="10486" max="10486" width="75.88671875" style="2" customWidth="1"/>
    <col min="10487" max="10488" width="7.6640625" style="2" customWidth="1"/>
    <col min="10489" max="10489" width="9.6640625" style="2" customWidth="1"/>
    <col min="10490" max="10490" width="7.6640625" style="2" customWidth="1"/>
    <col min="10491" max="10494" width="0" style="2" hidden="1" customWidth="1"/>
    <col min="10495" max="10495" width="14.33203125" style="2" customWidth="1"/>
    <col min="10496" max="10501" width="0" style="2" hidden="1" customWidth="1"/>
    <col min="10502" max="10502" width="10.109375" style="2" bestFit="1" customWidth="1"/>
    <col min="10503" max="10741" width="9.109375" style="2"/>
    <col min="10742" max="10742" width="75.88671875" style="2" customWidth="1"/>
    <col min="10743" max="10744" width="7.6640625" style="2" customWidth="1"/>
    <col min="10745" max="10745" width="9.6640625" style="2" customWidth="1"/>
    <col min="10746" max="10746" width="7.6640625" style="2" customWidth="1"/>
    <col min="10747" max="10750" width="0" style="2" hidden="1" customWidth="1"/>
    <col min="10751" max="10751" width="14.33203125" style="2" customWidth="1"/>
    <col min="10752" max="10757" width="0" style="2" hidden="1" customWidth="1"/>
    <col min="10758" max="10758" width="10.109375" style="2" bestFit="1" customWidth="1"/>
    <col min="10759" max="10997" width="9.109375" style="2"/>
    <col min="10998" max="10998" width="75.88671875" style="2" customWidth="1"/>
    <col min="10999" max="11000" width="7.6640625" style="2" customWidth="1"/>
    <col min="11001" max="11001" width="9.6640625" style="2" customWidth="1"/>
    <col min="11002" max="11002" width="7.6640625" style="2" customWidth="1"/>
    <col min="11003" max="11006" width="0" style="2" hidden="1" customWidth="1"/>
    <col min="11007" max="11007" width="14.33203125" style="2" customWidth="1"/>
    <col min="11008" max="11013" width="0" style="2" hidden="1" customWidth="1"/>
    <col min="11014" max="11014" width="10.109375" style="2" bestFit="1" customWidth="1"/>
    <col min="11015" max="11253" width="9.109375" style="2"/>
    <col min="11254" max="11254" width="75.88671875" style="2" customWidth="1"/>
    <col min="11255" max="11256" width="7.6640625" style="2" customWidth="1"/>
    <col min="11257" max="11257" width="9.6640625" style="2" customWidth="1"/>
    <col min="11258" max="11258" width="7.6640625" style="2" customWidth="1"/>
    <col min="11259" max="11262" width="0" style="2" hidden="1" customWidth="1"/>
    <col min="11263" max="11263" width="14.33203125" style="2" customWidth="1"/>
    <col min="11264" max="11269" width="0" style="2" hidden="1" customWidth="1"/>
    <col min="11270" max="11270" width="10.109375" style="2" bestFit="1" customWidth="1"/>
    <col min="11271" max="11509" width="9.109375" style="2"/>
    <col min="11510" max="11510" width="75.88671875" style="2" customWidth="1"/>
    <col min="11511" max="11512" width="7.6640625" style="2" customWidth="1"/>
    <col min="11513" max="11513" width="9.6640625" style="2" customWidth="1"/>
    <col min="11514" max="11514" width="7.6640625" style="2" customWidth="1"/>
    <col min="11515" max="11518" width="0" style="2" hidden="1" customWidth="1"/>
    <col min="11519" max="11519" width="14.33203125" style="2" customWidth="1"/>
    <col min="11520" max="11525" width="0" style="2" hidden="1" customWidth="1"/>
    <col min="11526" max="11526" width="10.109375" style="2" bestFit="1" customWidth="1"/>
    <col min="11527" max="11765" width="9.109375" style="2"/>
    <col min="11766" max="11766" width="75.88671875" style="2" customWidth="1"/>
    <col min="11767" max="11768" width="7.6640625" style="2" customWidth="1"/>
    <col min="11769" max="11769" width="9.6640625" style="2" customWidth="1"/>
    <col min="11770" max="11770" width="7.6640625" style="2" customWidth="1"/>
    <col min="11771" max="11774" width="0" style="2" hidden="1" customWidth="1"/>
    <col min="11775" max="11775" width="14.33203125" style="2" customWidth="1"/>
    <col min="11776" max="11781" width="0" style="2" hidden="1" customWidth="1"/>
    <col min="11782" max="11782" width="10.109375" style="2" bestFit="1" customWidth="1"/>
    <col min="11783" max="12021" width="9.109375" style="2"/>
    <col min="12022" max="12022" width="75.88671875" style="2" customWidth="1"/>
    <col min="12023" max="12024" width="7.6640625" style="2" customWidth="1"/>
    <col min="12025" max="12025" width="9.6640625" style="2" customWidth="1"/>
    <col min="12026" max="12026" width="7.6640625" style="2" customWidth="1"/>
    <col min="12027" max="12030" width="0" style="2" hidden="1" customWidth="1"/>
    <col min="12031" max="12031" width="14.33203125" style="2" customWidth="1"/>
    <col min="12032" max="12037" width="0" style="2" hidden="1" customWidth="1"/>
    <col min="12038" max="12038" width="10.109375" style="2" bestFit="1" customWidth="1"/>
    <col min="12039" max="12277" width="9.109375" style="2"/>
    <col min="12278" max="12278" width="75.88671875" style="2" customWidth="1"/>
    <col min="12279" max="12280" width="7.6640625" style="2" customWidth="1"/>
    <col min="12281" max="12281" width="9.6640625" style="2" customWidth="1"/>
    <col min="12282" max="12282" width="7.6640625" style="2" customWidth="1"/>
    <col min="12283" max="12286" width="0" style="2" hidden="1" customWidth="1"/>
    <col min="12287" max="12287" width="14.33203125" style="2" customWidth="1"/>
    <col min="12288" max="12293" width="0" style="2" hidden="1" customWidth="1"/>
    <col min="12294" max="12294" width="10.109375" style="2" bestFit="1" customWidth="1"/>
    <col min="12295" max="12533" width="9.109375" style="2"/>
    <col min="12534" max="12534" width="75.88671875" style="2" customWidth="1"/>
    <col min="12535" max="12536" width="7.6640625" style="2" customWidth="1"/>
    <col min="12537" max="12537" width="9.6640625" style="2" customWidth="1"/>
    <col min="12538" max="12538" width="7.6640625" style="2" customWidth="1"/>
    <col min="12539" max="12542" width="0" style="2" hidden="1" customWidth="1"/>
    <col min="12543" max="12543" width="14.33203125" style="2" customWidth="1"/>
    <col min="12544" max="12549" width="0" style="2" hidden="1" customWidth="1"/>
    <col min="12550" max="12550" width="10.109375" style="2" bestFit="1" customWidth="1"/>
    <col min="12551" max="12789" width="9.109375" style="2"/>
    <col min="12790" max="12790" width="75.88671875" style="2" customWidth="1"/>
    <col min="12791" max="12792" width="7.6640625" style="2" customWidth="1"/>
    <col min="12793" max="12793" width="9.6640625" style="2" customWidth="1"/>
    <col min="12794" max="12794" width="7.6640625" style="2" customWidth="1"/>
    <col min="12795" max="12798" width="0" style="2" hidden="1" customWidth="1"/>
    <col min="12799" max="12799" width="14.33203125" style="2" customWidth="1"/>
    <col min="12800" max="12805" width="0" style="2" hidden="1" customWidth="1"/>
    <col min="12806" max="12806" width="10.109375" style="2" bestFit="1" customWidth="1"/>
    <col min="12807" max="13045" width="9.109375" style="2"/>
    <col min="13046" max="13046" width="75.88671875" style="2" customWidth="1"/>
    <col min="13047" max="13048" width="7.6640625" style="2" customWidth="1"/>
    <col min="13049" max="13049" width="9.6640625" style="2" customWidth="1"/>
    <col min="13050" max="13050" width="7.6640625" style="2" customWidth="1"/>
    <col min="13051" max="13054" width="0" style="2" hidden="1" customWidth="1"/>
    <col min="13055" max="13055" width="14.33203125" style="2" customWidth="1"/>
    <col min="13056" max="13061" width="0" style="2" hidden="1" customWidth="1"/>
    <col min="13062" max="13062" width="10.109375" style="2" bestFit="1" customWidth="1"/>
    <col min="13063" max="13301" width="9.109375" style="2"/>
    <col min="13302" max="13302" width="75.88671875" style="2" customWidth="1"/>
    <col min="13303" max="13304" width="7.6640625" style="2" customWidth="1"/>
    <col min="13305" max="13305" width="9.6640625" style="2" customWidth="1"/>
    <col min="13306" max="13306" width="7.6640625" style="2" customWidth="1"/>
    <col min="13307" max="13310" width="0" style="2" hidden="1" customWidth="1"/>
    <col min="13311" max="13311" width="14.33203125" style="2" customWidth="1"/>
    <col min="13312" max="13317" width="0" style="2" hidden="1" customWidth="1"/>
    <col min="13318" max="13318" width="10.109375" style="2" bestFit="1" customWidth="1"/>
    <col min="13319" max="13557" width="9.109375" style="2"/>
    <col min="13558" max="13558" width="75.88671875" style="2" customWidth="1"/>
    <col min="13559" max="13560" width="7.6640625" style="2" customWidth="1"/>
    <col min="13561" max="13561" width="9.6640625" style="2" customWidth="1"/>
    <col min="13562" max="13562" width="7.6640625" style="2" customWidth="1"/>
    <col min="13563" max="13566" width="0" style="2" hidden="1" customWidth="1"/>
    <col min="13567" max="13567" width="14.33203125" style="2" customWidth="1"/>
    <col min="13568" max="13573" width="0" style="2" hidden="1" customWidth="1"/>
    <col min="13574" max="13574" width="10.109375" style="2" bestFit="1" customWidth="1"/>
    <col min="13575" max="13813" width="9.109375" style="2"/>
    <col min="13814" max="13814" width="75.88671875" style="2" customWidth="1"/>
    <col min="13815" max="13816" width="7.6640625" style="2" customWidth="1"/>
    <col min="13817" max="13817" width="9.6640625" style="2" customWidth="1"/>
    <col min="13818" max="13818" width="7.6640625" style="2" customWidth="1"/>
    <col min="13819" max="13822" width="0" style="2" hidden="1" customWidth="1"/>
    <col min="13823" max="13823" width="14.33203125" style="2" customWidth="1"/>
    <col min="13824" max="13829" width="0" style="2" hidden="1" customWidth="1"/>
    <col min="13830" max="13830" width="10.109375" style="2" bestFit="1" customWidth="1"/>
    <col min="13831" max="14069" width="9.109375" style="2"/>
    <col min="14070" max="14070" width="75.88671875" style="2" customWidth="1"/>
    <col min="14071" max="14072" width="7.6640625" style="2" customWidth="1"/>
    <col min="14073" max="14073" width="9.6640625" style="2" customWidth="1"/>
    <col min="14074" max="14074" width="7.6640625" style="2" customWidth="1"/>
    <col min="14075" max="14078" width="0" style="2" hidden="1" customWidth="1"/>
    <col min="14079" max="14079" width="14.33203125" style="2" customWidth="1"/>
    <col min="14080" max="14085" width="0" style="2" hidden="1" customWidth="1"/>
    <col min="14086" max="14086" width="10.109375" style="2" bestFit="1" customWidth="1"/>
    <col min="14087" max="14325" width="9.109375" style="2"/>
    <col min="14326" max="14326" width="75.88671875" style="2" customWidth="1"/>
    <col min="14327" max="14328" width="7.6640625" style="2" customWidth="1"/>
    <col min="14329" max="14329" width="9.6640625" style="2" customWidth="1"/>
    <col min="14330" max="14330" width="7.6640625" style="2" customWidth="1"/>
    <col min="14331" max="14334" width="0" style="2" hidden="1" customWidth="1"/>
    <col min="14335" max="14335" width="14.33203125" style="2" customWidth="1"/>
    <col min="14336" max="14341" width="0" style="2" hidden="1" customWidth="1"/>
    <col min="14342" max="14342" width="10.109375" style="2" bestFit="1" customWidth="1"/>
    <col min="14343" max="14581" width="9.109375" style="2"/>
    <col min="14582" max="14582" width="75.88671875" style="2" customWidth="1"/>
    <col min="14583" max="14584" width="7.6640625" style="2" customWidth="1"/>
    <col min="14585" max="14585" width="9.6640625" style="2" customWidth="1"/>
    <col min="14586" max="14586" width="7.6640625" style="2" customWidth="1"/>
    <col min="14587" max="14590" width="0" style="2" hidden="1" customWidth="1"/>
    <col min="14591" max="14591" width="14.33203125" style="2" customWidth="1"/>
    <col min="14592" max="14597" width="0" style="2" hidden="1" customWidth="1"/>
    <col min="14598" max="14598" width="10.109375" style="2" bestFit="1" customWidth="1"/>
    <col min="14599" max="14837" width="9.109375" style="2"/>
    <col min="14838" max="14838" width="75.88671875" style="2" customWidth="1"/>
    <col min="14839" max="14840" width="7.6640625" style="2" customWidth="1"/>
    <col min="14841" max="14841" width="9.6640625" style="2" customWidth="1"/>
    <col min="14842" max="14842" width="7.6640625" style="2" customWidth="1"/>
    <col min="14843" max="14846" width="0" style="2" hidden="1" customWidth="1"/>
    <col min="14847" max="14847" width="14.33203125" style="2" customWidth="1"/>
    <col min="14848" max="14853" width="0" style="2" hidden="1" customWidth="1"/>
    <col min="14854" max="14854" width="10.109375" style="2" bestFit="1" customWidth="1"/>
    <col min="14855" max="15093" width="9.109375" style="2"/>
    <col min="15094" max="15094" width="75.88671875" style="2" customWidth="1"/>
    <col min="15095" max="15096" width="7.6640625" style="2" customWidth="1"/>
    <col min="15097" max="15097" width="9.6640625" style="2" customWidth="1"/>
    <col min="15098" max="15098" width="7.6640625" style="2" customWidth="1"/>
    <col min="15099" max="15102" width="0" style="2" hidden="1" customWidth="1"/>
    <col min="15103" max="15103" width="14.33203125" style="2" customWidth="1"/>
    <col min="15104" max="15109" width="0" style="2" hidden="1" customWidth="1"/>
    <col min="15110" max="15110" width="10.109375" style="2" bestFit="1" customWidth="1"/>
    <col min="15111" max="15349" width="9.109375" style="2"/>
    <col min="15350" max="15350" width="75.88671875" style="2" customWidth="1"/>
    <col min="15351" max="15352" width="7.6640625" style="2" customWidth="1"/>
    <col min="15353" max="15353" width="9.6640625" style="2" customWidth="1"/>
    <col min="15354" max="15354" width="7.6640625" style="2" customWidth="1"/>
    <col min="15355" max="15358" width="0" style="2" hidden="1" customWidth="1"/>
    <col min="15359" max="15359" width="14.33203125" style="2" customWidth="1"/>
    <col min="15360" max="15365" width="0" style="2" hidden="1" customWidth="1"/>
    <col min="15366" max="15366" width="10.109375" style="2" bestFit="1" customWidth="1"/>
    <col min="15367" max="15605" width="9.109375" style="2"/>
    <col min="15606" max="15606" width="75.88671875" style="2" customWidth="1"/>
    <col min="15607" max="15608" width="7.6640625" style="2" customWidth="1"/>
    <col min="15609" max="15609" width="9.6640625" style="2" customWidth="1"/>
    <col min="15610" max="15610" width="7.6640625" style="2" customWidth="1"/>
    <col min="15611" max="15614" width="0" style="2" hidden="1" customWidth="1"/>
    <col min="15615" max="15615" width="14.33203125" style="2" customWidth="1"/>
    <col min="15616" max="15621" width="0" style="2" hidden="1" customWidth="1"/>
    <col min="15622" max="15622" width="10.109375" style="2" bestFit="1" customWidth="1"/>
    <col min="15623" max="15861" width="9.109375" style="2"/>
    <col min="15862" max="15862" width="75.88671875" style="2" customWidth="1"/>
    <col min="15863" max="15864" width="7.6640625" style="2" customWidth="1"/>
    <col min="15865" max="15865" width="9.6640625" style="2" customWidth="1"/>
    <col min="15866" max="15866" width="7.6640625" style="2" customWidth="1"/>
    <col min="15867" max="15870" width="0" style="2" hidden="1" customWidth="1"/>
    <col min="15871" max="15871" width="14.33203125" style="2" customWidth="1"/>
    <col min="15872" max="15877" width="0" style="2" hidden="1" customWidth="1"/>
    <col min="15878" max="15878" width="10.109375" style="2" bestFit="1" customWidth="1"/>
    <col min="15879" max="16117" width="9.109375" style="2"/>
    <col min="16118" max="16118" width="75.88671875" style="2" customWidth="1"/>
    <col min="16119" max="16120" width="7.6640625" style="2" customWidth="1"/>
    <col min="16121" max="16121" width="9.6640625" style="2" customWidth="1"/>
    <col min="16122" max="16122" width="7.6640625" style="2" customWidth="1"/>
    <col min="16123" max="16126" width="0" style="2" hidden="1" customWidth="1"/>
    <col min="16127" max="16127" width="14.33203125" style="2" customWidth="1"/>
    <col min="16128" max="16133" width="0" style="2" hidden="1" customWidth="1"/>
    <col min="16134" max="16134" width="10.109375" style="2" bestFit="1" customWidth="1"/>
    <col min="16135" max="16384" width="9.109375" style="2"/>
  </cols>
  <sheetData>
    <row r="1" spans="1:12">
      <c r="H1" s="73"/>
    </row>
    <row r="2" spans="1:12">
      <c r="H2" s="73"/>
    </row>
    <row r="3" spans="1:12">
      <c r="H3" s="73"/>
    </row>
    <row r="6" spans="1:12">
      <c r="H6" s="73"/>
    </row>
    <row r="7" spans="1:12">
      <c r="H7" s="73"/>
    </row>
    <row r="8" spans="1:12">
      <c r="H8" s="73"/>
    </row>
    <row r="9" spans="1:12">
      <c r="H9" s="73"/>
    </row>
    <row r="10" spans="1:12" s="1" customFormat="1">
      <c r="A10" s="365" t="s">
        <v>240</v>
      </c>
      <c r="B10" s="365"/>
      <c r="C10" s="365"/>
      <c r="D10" s="365"/>
      <c r="E10" s="365"/>
      <c r="F10" s="365"/>
      <c r="G10" s="365"/>
      <c r="H10" s="365"/>
      <c r="L10" s="3"/>
    </row>
    <row r="11" spans="1:12" s="1" customFormat="1" ht="36" customHeight="1">
      <c r="A11" s="360" t="s">
        <v>545</v>
      </c>
      <c r="B11" s="360"/>
      <c r="C11" s="360"/>
      <c r="D11" s="360"/>
      <c r="E11" s="360"/>
      <c r="F11" s="360"/>
      <c r="G11" s="360"/>
      <c r="H11" s="360"/>
      <c r="L11" s="3"/>
    </row>
    <row r="12" spans="1:12" s="1" customFormat="1">
      <c r="A12" s="39"/>
      <c r="B12" s="137"/>
      <c r="C12" s="137"/>
      <c r="D12" s="137"/>
      <c r="E12" s="137"/>
      <c r="F12" s="176"/>
      <c r="G12" s="53"/>
      <c r="H12" s="65" t="s">
        <v>408</v>
      </c>
      <c r="L12" s="3"/>
    </row>
    <row r="13" spans="1:12" ht="54">
      <c r="A13" s="41" t="s">
        <v>0</v>
      </c>
      <c r="B13" s="42" t="s">
        <v>1</v>
      </c>
      <c r="C13" s="42" t="s">
        <v>2</v>
      </c>
      <c r="D13" s="42" t="s">
        <v>3</v>
      </c>
      <c r="E13" s="42" t="s">
        <v>4</v>
      </c>
      <c r="F13" s="42" t="s">
        <v>763</v>
      </c>
      <c r="G13" s="122" t="s">
        <v>753</v>
      </c>
      <c r="H13" s="122" t="s">
        <v>754</v>
      </c>
      <c r="I13" s="181" t="s">
        <v>755</v>
      </c>
      <c r="J13" s="183" t="s">
        <v>772</v>
      </c>
      <c r="K13" s="233" t="s">
        <v>808</v>
      </c>
      <c r="L13" s="234" t="s">
        <v>816</v>
      </c>
    </row>
    <row r="14" spans="1:12" s="3" customFormat="1" ht="69.599999999999994">
      <c r="A14" s="191" t="s">
        <v>497</v>
      </c>
      <c r="B14" s="192" t="s">
        <v>503</v>
      </c>
      <c r="C14" s="192" t="s">
        <v>5</v>
      </c>
      <c r="D14" s="192" t="s">
        <v>126</v>
      </c>
      <c r="E14" s="193" t="s">
        <v>6</v>
      </c>
      <c r="F14" s="215">
        <f>F15</f>
        <v>7365861</v>
      </c>
      <c r="G14" s="215">
        <f>G15</f>
        <v>6988528</v>
      </c>
      <c r="H14" s="215">
        <f>H15</f>
        <v>7771061.0300000003</v>
      </c>
      <c r="I14" s="194">
        <f>I15</f>
        <v>7771061.0300000003</v>
      </c>
      <c r="J14" s="216">
        <f>I14-H14</f>
        <v>0</v>
      </c>
      <c r="K14" s="194">
        <v>0</v>
      </c>
      <c r="L14" s="194">
        <f>L15</f>
        <v>7771061.0300000003</v>
      </c>
    </row>
    <row r="15" spans="1:12" outlineLevel="1">
      <c r="A15" s="164" t="s">
        <v>7</v>
      </c>
      <c r="B15" s="163" t="s">
        <v>503</v>
      </c>
      <c r="C15" s="163" t="s">
        <v>8</v>
      </c>
      <c r="D15" s="163" t="s">
        <v>126</v>
      </c>
      <c r="E15" s="169" t="s">
        <v>6</v>
      </c>
      <c r="F15" s="167">
        <f>F16+F25</f>
        <v>7365861</v>
      </c>
      <c r="G15" s="167">
        <f t="shared" ref="G15:H15" si="0">G16+G25</f>
        <v>6988528</v>
      </c>
      <c r="H15" s="167">
        <f t="shared" si="0"/>
        <v>7771061.0300000003</v>
      </c>
      <c r="I15" s="182">
        <f t="shared" ref="I15" si="1">I16+I25</f>
        <v>7771061.0300000003</v>
      </c>
      <c r="J15" s="216">
        <f t="shared" ref="J15:J78" si="2">I15-H15</f>
        <v>0</v>
      </c>
      <c r="K15" s="182"/>
      <c r="L15" s="182">
        <f t="shared" ref="L15" si="3">L16+L25</f>
        <v>7771061.0300000003</v>
      </c>
    </row>
    <row r="16" spans="1:12" ht="72" outlineLevel="2">
      <c r="A16" s="164" t="s">
        <v>9</v>
      </c>
      <c r="B16" s="163" t="s">
        <v>503</v>
      </c>
      <c r="C16" s="163" t="s">
        <v>10</v>
      </c>
      <c r="D16" s="163" t="s">
        <v>126</v>
      </c>
      <c r="E16" s="169" t="s">
        <v>6</v>
      </c>
      <c r="F16" s="167">
        <f>F17</f>
        <v>6850546</v>
      </c>
      <c r="G16" s="167">
        <f t="shared" ref="G16:I17" si="4">G17</f>
        <v>6498213</v>
      </c>
      <c r="H16" s="167">
        <f t="shared" si="4"/>
        <v>7235605.0300000003</v>
      </c>
      <c r="I16" s="182">
        <f t="shared" si="4"/>
        <v>7235605.0300000003</v>
      </c>
      <c r="J16" s="216">
        <f t="shared" si="2"/>
        <v>0</v>
      </c>
      <c r="K16" s="182"/>
      <c r="L16" s="182">
        <f t="shared" ref="L16:L17" si="5">L17</f>
        <v>7235605.0300000003</v>
      </c>
    </row>
    <row r="17" spans="1:12" ht="18.75" customHeight="1" outlineLevel="4">
      <c r="A17" s="164" t="s">
        <v>132</v>
      </c>
      <c r="B17" s="163" t="s">
        <v>503</v>
      </c>
      <c r="C17" s="163" t="s">
        <v>10</v>
      </c>
      <c r="D17" s="163" t="s">
        <v>127</v>
      </c>
      <c r="E17" s="169" t="s">
        <v>6</v>
      </c>
      <c r="F17" s="167">
        <f>F18</f>
        <v>6850546</v>
      </c>
      <c r="G17" s="167">
        <f t="shared" si="4"/>
        <v>6498213</v>
      </c>
      <c r="H17" s="167">
        <f t="shared" si="4"/>
        <v>7235605.0300000003</v>
      </c>
      <c r="I17" s="182">
        <f t="shared" si="4"/>
        <v>7235605.0300000003</v>
      </c>
      <c r="J17" s="216">
        <f t="shared" si="2"/>
        <v>0</v>
      </c>
      <c r="K17" s="182"/>
      <c r="L17" s="182">
        <f t="shared" si="5"/>
        <v>7235605.0300000003</v>
      </c>
    </row>
    <row r="18" spans="1:12" ht="72" outlineLevel="5">
      <c r="A18" s="164" t="s">
        <v>498</v>
      </c>
      <c r="B18" s="163" t="s">
        <v>503</v>
      </c>
      <c r="C18" s="163" t="s">
        <v>10</v>
      </c>
      <c r="D18" s="163" t="s">
        <v>499</v>
      </c>
      <c r="E18" s="169" t="s">
        <v>6</v>
      </c>
      <c r="F18" s="167">
        <f>F19+F21+F23</f>
        <v>6850546</v>
      </c>
      <c r="G18" s="167">
        <f t="shared" ref="G18:H18" si="6">G19+G21+G23</f>
        <v>6498213</v>
      </c>
      <c r="H18" s="167">
        <f t="shared" si="6"/>
        <v>7235605.0300000003</v>
      </c>
      <c r="I18" s="182">
        <f t="shared" ref="I18" si="7">I19+I21+I23</f>
        <v>7235605.0300000003</v>
      </c>
      <c r="J18" s="216">
        <f t="shared" si="2"/>
        <v>0</v>
      </c>
      <c r="K18" s="182"/>
      <c r="L18" s="182">
        <f t="shared" ref="L18" si="8">L19+L21+L23</f>
        <v>7235605.0300000003</v>
      </c>
    </row>
    <row r="19" spans="1:12" ht="57.75" customHeight="1" outlineLevel="6">
      <c r="A19" s="164" t="s">
        <v>11</v>
      </c>
      <c r="B19" s="163" t="s">
        <v>503</v>
      </c>
      <c r="C19" s="163" t="s">
        <v>10</v>
      </c>
      <c r="D19" s="163" t="s">
        <v>499</v>
      </c>
      <c r="E19" s="169" t="s">
        <v>12</v>
      </c>
      <c r="F19" s="167">
        <f>F20</f>
        <v>6599213</v>
      </c>
      <c r="G19" s="167">
        <f t="shared" ref="G19:I19" si="9">G20</f>
        <v>6247213</v>
      </c>
      <c r="H19" s="167">
        <f t="shared" si="9"/>
        <v>6985405.0300000003</v>
      </c>
      <c r="I19" s="182">
        <f t="shared" si="9"/>
        <v>6985405.0300000003</v>
      </c>
      <c r="J19" s="216">
        <f t="shared" si="2"/>
        <v>0</v>
      </c>
      <c r="K19" s="182"/>
      <c r="L19" s="182">
        <f t="shared" ref="L19" si="10">L20</f>
        <v>6985405.0300000003</v>
      </c>
    </row>
    <row r="20" spans="1:12" ht="18.75" customHeight="1" outlineLevel="7">
      <c r="A20" s="164" t="s">
        <v>13</v>
      </c>
      <c r="B20" s="163" t="s">
        <v>503</v>
      </c>
      <c r="C20" s="163" t="s">
        <v>10</v>
      </c>
      <c r="D20" s="163" t="s">
        <v>499</v>
      </c>
      <c r="E20" s="169" t="s">
        <v>14</v>
      </c>
      <c r="F20" s="217">
        <v>6599213</v>
      </c>
      <c r="G20" s="217">
        <v>6247213</v>
      </c>
      <c r="H20" s="184">
        <f>5365134.16+1620270.87</f>
        <v>6985405.0300000003</v>
      </c>
      <c r="I20" s="195">
        <v>6985405.0300000003</v>
      </c>
      <c r="J20" s="216">
        <f t="shared" si="2"/>
        <v>0</v>
      </c>
      <c r="K20" s="195"/>
      <c r="L20" s="195">
        <v>6985405.0300000003</v>
      </c>
    </row>
    <row r="21" spans="1:12" ht="19.5" customHeight="1" outlineLevel="6">
      <c r="A21" s="164" t="s">
        <v>15</v>
      </c>
      <c r="B21" s="163" t="s">
        <v>503</v>
      </c>
      <c r="C21" s="163" t="s">
        <v>10</v>
      </c>
      <c r="D21" s="163" t="s">
        <v>499</v>
      </c>
      <c r="E21" s="169" t="s">
        <v>16</v>
      </c>
      <c r="F21" s="167">
        <f>F22</f>
        <v>250333</v>
      </c>
      <c r="G21" s="167">
        <f t="shared" ref="G21:I21" si="11">G22</f>
        <v>250000</v>
      </c>
      <c r="H21" s="167">
        <f t="shared" si="11"/>
        <v>250200</v>
      </c>
      <c r="I21" s="182">
        <f t="shared" si="11"/>
        <v>250200</v>
      </c>
      <c r="J21" s="216">
        <f t="shared" si="2"/>
        <v>0</v>
      </c>
      <c r="K21" s="182"/>
      <c r="L21" s="182">
        <f t="shared" ref="L21" si="12">L22</f>
        <v>250200</v>
      </c>
    </row>
    <row r="22" spans="1:12" ht="54" outlineLevel="7">
      <c r="A22" s="164" t="s">
        <v>17</v>
      </c>
      <c r="B22" s="163" t="s">
        <v>503</v>
      </c>
      <c r="C22" s="163" t="s">
        <v>10</v>
      </c>
      <c r="D22" s="163" t="s">
        <v>499</v>
      </c>
      <c r="E22" s="169" t="s">
        <v>18</v>
      </c>
      <c r="F22" s="184">
        <v>250333</v>
      </c>
      <c r="G22" s="184">
        <v>250000</v>
      </c>
      <c r="H22" s="184">
        <v>250200</v>
      </c>
      <c r="I22" s="195">
        <v>250200</v>
      </c>
      <c r="J22" s="216">
        <f t="shared" si="2"/>
        <v>0</v>
      </c>
      <c r="K22" s="195"/>
      <c r="L22" s="195">
        <v>250200</v>
      </c>
    </row>
    <row r="23" spans="1:12" outlineLevel="6">
      <c r="A23" s="164" t="s">
        <v>19</v>
      </c>
      <c r="B23" s="163" t="s">
        <v>503</v>
      </c>
      <c r="C23" s="163" t="s">
        <v>10</v>
      </c>
      <c r="D23" s="163" t="s">
        <v>499</v>
      </c>
      <c r="E23" s="169" t="s">
        <v>20</v>
      </c>
      <c r="F23" s="167">
        <f>F24</f>
        <v>1000</v>
      </c>
      <c r="G23" s="167">
        <f t="shared" ref="G23:H23" si="13">G24</f>
        <v>1000</v>
      </c>
      <c r="H23" s="167">
        <f t="shared" si="13"/>
        <v>0</v>
      </c>
      <c r="I23" s="182">
        <f>I24</f>
        <v>0</v>
      </c>
      <c r="J23" s="216">
        <f t="shared" si="2"/>
        <v>0</v>
      </c>
      <c r="K23" s="182"/>
      <c r="L23" s="182">
        <f>L24</f>
        <v>0</v>
      </c>
    </row>
    <row r="24" spans="1:12" outlineLevel="7">
      <c r="A24" s="164" t="s">
        <v>21</v>
      </c>
      <c r="B24" s="163" t="s">
        <v>503</v>
      </c>
      <c r="C24" s="163" t="s">
        <v>10</v>
      </c>
      <c r="D24" s="163" t="s">
        <v>499</v>
      </c>
      <c r="E24" s="169" t="s">
        <v>22</v>
      </c>
      <c r="F24" s="184">
        <v>1000</v>
      </c>
      <c r="G24" s="184">
        <v>1000</v>
      </c>
      <c r="H24" s="184">
        <v>0</v>
      </c>
      <c r="I24" s="195">
        <v>0</v>
      </c>
      <c r="J24" s="216">
        <f t="shared" si="2"/>
        <v>0</v>
      </c>
      <c r="K24" s="195"/>
      <c r="L24" s="195">
        <v>0</v>
      </c>
    </row>
    <row r="25" spans="1:12" outlineLevel="2">
      <c r="A25" s="164" t="s">
        <v>23</v>
      </c>
      <c r="B25" s="163" t="s">
        <v>503</v>
      </c>
      <c r="C25" s="163" t="s">
        <v>24</v>
      </c>
      <c r="D25" s="163" t="s">
        <v>126</v>
      </c>
      <c r="E25" s="169" t="s">
        <v>6</v>
      </c>
      <c r="F25" s="167">
        <f>F26+F31</f>
        <v>515315</v>
      </c>
      <c r="G25" s="167">
        <f t="shared" ref="G25:H25" si="14">G26+G31</f>
        <v>490315</v>
      </c>
      <c r="H25" s="167">
        <f t="shared" si="14"/>
        <v>535456</v>
      </c>
      <c r="I25" s="182">
        <f t="shared" ref="I25" si="15">I26+I31</f>
        <v>535456</v>
      </c>
      <c r="J25" s="216">
        <f t="shared" si="2"/>
        <v>0</v>
      </c>
      <c r="K25" s="182"/>
      <c r="L25" s="182">
        <f t="shared" ref="L25" si="16">L26+L31</f>
        <v>535456</v>
      </c>
    </row>
    <row r="26" spans="1:12" ht="72" outlineLevel="3">
      <c r="A26" s="196" t="s">
        <v>420</v>
      </c>
      <c r="B26" s="197" t="s">
        <v>503</v>
      </c>
      <c r="C26" s="197" t="s">
        <v>24</v>
      </c>
      <c r="D26" s="197" t="s">
        <v>128</v>
      </c>
      <c r="E26" s="198" t="s">
        <v>6</v>
      </c>
      <c r="F26" s="171">
        <f>F27</f>
        <v>56000</v>
      </c>
      <c r="G26" s="171">
        <f t="shared" ref="G26:I29" si="17">G27</f>
        <v>31000</v>
      </c>
      <c r="H26" s="171">
        <f t="shared" si="17"/>
        <v>58240</v>
      </c>
      <c r="I26" s="199">
        <f t="shared" si="17"/>
        <v>58240</v>
      </c>
      <c r="J26" s="216">
        <f t="shared" si="2"/>
        <v>0</v>
      </c>
      <c r="K26" s="199"/>
      <c r="L26" s="199">
        <f t="shared" ref="L26:L29" si="18">L27</f>
        <v>58240</v>
      </c>
    </row>
    <row r="27" spans="1:12" ht="72" outlineLevel="4">
      <c r="A27" s="164" t="s">
        <v>314</v>
      </c>
      <c r="B27" s="163" t="s">
        <v>503</v>
      </c>
      <c r="C27" s="163" t="s">
        <v>24</v>
      </c>
      <c r="D27" s="163" t="s">
        <v>315</v>
      </c>
      <c r="E27" s="169" t="s">
        <v>6</v>
      </c>
      <c r="F27" s="167">
        <f>F28</f>
        <v>56000</v>
      </c>
      <c r="G27" s="167">
        <f t="shared" si="17"/>
        <v>31000</v>
      </c>
      <c r="H27" s="167">
        <f t="shared" si="17"/>
        <v>58240</v>
      </c>
      <c r="I27" s="182">
        <f t="shared" si="17"/>
        <v>58240</v>
      </c>
      <c r="J27" s="216">
        <f t="shared" si="2"/>
        <v>0</v>
      </c>
      <c r="K27" s="182"/>
      <c r="L27" s="182">
        <f t="shared" si="18"/>
        <v>58240</v>
      </c>
    </row>
    <row r="28" spans="1:12" ht="36" outlineLevel="5">
      <c r="A28" s="200" t="s">
        <v>321</v>
      </c>
      <c r="B28" s="163" t="s">
        <v>503</v>
      </c>
      <c r="C28" s="163" t="s">
        <v>24</v>
      </c>
      <c r="D28" s="163" t="s">
        <v>316</v>
      </c>
      <c r="E28" s="169" t="s">
        <v>6</v>
      </c>
      <c r="F28" s="167">
        <f>F29</f>
        <v>56000</v>
      </c>
      <c r="G28" s="167">
        <f t="shared" si="17"/>
        <v>31000</v>
      </c>
      <c r="H28" s="167">
        <f t="shared" si="17"/>
        <v>58240</v>
      </c>
      <c r="I28" s="182">
        <f t="shared" si="17"/>
        <v>58240</v>
      </c>
      <c r="J28" s="216">
        <f t="shared" si="2"/>
        <v>0</v>
      </c>
      <c r="K28" s="182"/>
      <c r="L28" s="182">
        <f t="shared" si="18"/>
        <v>58240</v>
      </c>
    </row>
    <row r="29" spans="1:12" ht="20.25" customHeight="1" outlineLevel="6">
      <c r="A29" s="164" t="s">
        <v>15</v>
      </c>
      <c r="B29" s="163" t="s">
        <v>503</v>
      </c>
      <c r="C29" s="163" t="s">
        <v>24</v>
      </c>
      <c r="D29" s="163" t="s">
        <v>316</v>
      </c>
      <c r="E29" s="169" t="s">
        <v>16</v>
      </c>
      <c r="F29" s="167">
        <f>F30</f>
        <v>56000</v>
      </c>
      <c r="G29" s="167">
        <f t="shared" si="17"/>
        <v>31000</v>
      </c>
      <c r="H29" s="167">
        <f t="shared" si="17"/>
        <v>58240</v>
      </c>
      <c r="I29" s="182">
        <f t="shared" si="17"/>
        <v>58240</v>
      </c>
      <c r="J29" s="216">
        <f t="shared" si="2"/>
        <v>0</v>
      </c>
      <c r="K29" s="182"/>
      <c r="L29" s="182">
        <f t="shared" si="18"/>
        <v>58240</v>
      </c>
    </row>
    <row r="30" spans="1:12" ht="54" outlineLevel="7">
      <c r="A30" s="164" t="s">
        <v>17</v>
      </c>
      <c r="B30" s="163" t="s">
        <v>503</v>
      </c>
      <c r="C30" s="163" t="s">
        <v>24</v>
      </c>
      <c r="D30" s="163" t="s">
        <v>316</v>
      </c>
      <c r="E30" s="169" t="s">
        <v>18</v>
      </c>
      <c r="F30" s="167">
        <v>56000</v>
      </c>
      <c r="G30" s="167">
        <v>31000</v>
      </c>
      <c r="H30" s="184">
        <v>58240</v>
      </c>
      <c r="I30" s="195">
        <v>58240</v>
      </c>
      <c r="J30" s="216">
        <f t="shared" si="2"/>
        <v>0</v>
      </c>
      <c r="K30" s="195"/>
      <c r="L30" s="195">
        <v>58240</v>
      </c>
    </row>
    <row r="31" spans="1:12" ht="41.25" customHeight="1" outlineLevel="5">
      <c r="A31" s="201" t="s">
        <v>427</v>
      </c>
      <c r="B31" s="197" t="s">
        <v>503</v>
      </c>
      <c r="C31" s="163" t="s">
        <v>24</v>
      </c>
      <c r="D31" s="197" t="s">
        <v>317</v>
      </c>
      <c r="E31" s="198" t="s">
        <v>6</v>
      </c>
      <c r="F31" s="209">
        <f>F32</f>
        <v>459315</v>
      </c>
      <c r="G31" s="209">
        <f t="shared" ref="G31:I34" si="19">G32</f>
        <v>459315</v>
      </c>
      <c r="H31" s="209">
        <f t="shared" si="19"/>
        <v>477216</v>
      </c>
      <c r="I31" s="202">
        <f t="shared" si="19"/>
        <v>477216</v>
      </c>
      <c r="J31" s="216">
        <f t="shared" si="2"/>
        <v>0</v>
      </c>
      <c r="K31" s="202"/>
      <c r="L31" s="202">
        <f t="shared" ref="L31:L34" si="20">L32</f>
        <v>477216</v>
      </c>
    </row>
    <row r="32" spans="1:12" ht="54" outlineLevel="6">
      <c r="A32" s="203" t="s">
        <v>249</v>
      </c>
      <c r="B32" s="163" t="s">
        <v>503</v>
      </c>
      <c r="C32" s="163" t="s">
        <v>24</v>
      </c>
      <c r="D32" s="163" t="s">
        <v>318</v>
      </c>
      <c r="E32" s="169" t="s">
        <v>6</v>
      </c>
      <c r="F32" s="184">
        <f>F33</f>
        <v>459315</v>
      </c>
      <c r="G32" s="184">
        <f t="shared" si="19"/>
        <v>459315</v>
      </c>
      <c r="H32" s="184">
        <f t="shared" si="19"/>
        <v>477216</v>
      </c>
      <c r="I32" s="195">
        <f t="shared" si="19"/>
        <v>477216</v>
      </c>
      <c r="J32" s="216">
        <f t="shared" si="2"/>
        <v>0</v>
      </c>
      <c r="K32" s="195"/>
      <c r="L32" s="195">
        <f t="shared" si="20"/>
        <v>477216</v>
      </c>
    </row>
    <row r="33" spans="1:14" ht="72" outlineLevel="7">
      <c r="A33" s="164" t="s">
        <v>25</v>
      </c>
      <c r="B33" s="163" t="s">
        <v>503</v>
      </c>
      <c r="C33" s="163" t="s">
        <v>24</v>
      </c>
      <c r="D33" s="163" t="s">
        <v>329</v>
      </c>
      <c r="E33" s="169" t="s">
        <v>6</v>
      </c>
      <c r="F33" s="167">
        <f>F34</f>
        <v>459315</v>
      </c>
      <c r="G33" s="167">
        <f t="shared" si="19"/>
        <v>459315</v>
      </c>
      <c r="H33" s="167">
        <f t="shared" si="19"/>
        <v>477216</v>
      </c>
      <c r="I33" s="182">
        <f t="shared" si="19"/>
        <v>477216</v>
      </c>
      <c r="J33" s="216">
        <f t="shared" si="2"/>
        <v>0</v>
      </c>
      <c r="K33" s="182"/>
      <c r="L33" s="182">
        <f t="shared" si="20"/>
        <v>477216</v>
      </c>
    </row>
    <row r="34" spans="1:14" ht="18.75" customHeight="1" outlineLevel="7">
      <c r="A34" s="164" t="s">
        <v>15</v>
      </c>
      <c r="B34" s="163" t="s">
        <v>503</v>
      </c>
      <c r="C34" s="163" t="s">
        <v>24</v>
      </c>
      <c r="D34" s="163" t="s">
        <v>329</v>
      </c>
      <c r="E34" s="169" t="s">
        <v>16</v>
      </c>
      <c r="F34" s="167">
        <f>F35</f>
        <v>459315</v>
      </c>
      <c r="G34" s="167">
        <f t="shared" si="19"/>
        <v>459315</v>
      </c>
      <c r="H34" s="167">
        <f t="shared" si="19"/>
        <v>477216</v>
      </c>
      <c r="I34" s="182">
        <f t="shared" si="19"/>
        <v>477216</v>
      </c>
      <c r="J34" s="216">
        <f t="shared" si="2"/>
        <v>0</v>
      </c>
      <c r="K34" s="182"/>
      <c r="L34" s="182">
        <f t="shared" si="20"/>
        <v>477216</v>
      </c>
    </row>
    <row r="35" spans="1:14" ht="54" outlineLevel="7">
      <c r="A35" s="164" t="s">
        <v>17</v>
      </c>
      <c r="B35" s="163" t="s">
        <v>503</v>
      </c>
      <c r="C35" s="163" t="s">
        <v>24</v>
      </c>
      <c r="D35" s="163" t="s">
        <v>329</v>
      </c>
      <c r="E35" s="169" t="s">
        <v>18</v>
      </c>
      <c r="F35" s="184">
        <v>459315</v>
      </c>
      <c r="G35" s="184">
        <v>459315</v>
      </c>
      <c r="H35" s="167">
        <v>477216</v>
      </c>
      <c r="I35" s="182">
        <v>477216</v>
      </c>
      <c r="J35" s="216">
        <f t="shared" si="2"/>
        <v>0</v>
      </c>
      <c r="K35" s="182"/>
      <c r="L35" s="182">
        <v>477216</v>
      </c>
    </row>
    <row r="36" spans="1:14" s="177" customFormat="1" ht="35.4" customHeight="1" outlineLevel="3">
      <c r="A36" s="191" t="s">
        <v>27</v>
      </c>
      <c r="B36" s="192" t="s">
        <v>504</v>
      </c>
      <c r="C36" s="192" t="s">
        <v>5</v>
      </c>
      <c r="D36" s="192" t="s">
        <v>126</v>
      </c>
      <c r="E36" s="193" t="s">
        <v>6</v>
      </c>
      <c r="F36" s="215">
        <f>F37+F157+F167+F227+F326+F342+F356+F387+F450+F426+F178</f>
        <v>485312144.78999996</v>
      </c>
      <c r="G36" s="215">
        <f>G37+G157+G167+G227+G326+G342+G356+G387+G450+G426+G178</f>
        <v>196558866.55999997</v>
      </c>
      <c r="H36" s="215">
        <f>H37+H157+H167+H227+H326+H342+H356+H387+H450+H426+H178</f>
        <v>353076328.58000004</v>
      </c>
      <c r="I36" s="194">
        <f>I37+I157+I167+I227+I326+I342+I356+I387+I450+I426+I178</f>
        <v>342671075.62</v>
      </c>
      <c r="J36" s="216">
        <f t="shared" si="2"/>
        <v>-10405252.960000038</v>
      </c>
      <c r="K36" s="194"/>
      <c r="L36" s="194">
        <f>L37+L157+L167+L227+L326+L342+L356+L387+L450+L426+L178</f>
        <v>340271075.62000006</v>
      </c>
    </row>
    <row r="37" spans="1:14" outlineLevel="5">
      <c r="A37" s="196" t="s">
        <v>7</v>
      </c>
      <c r="B37" s="197" t="s">
        <v>504</v>
      </c>
      <c r="C37" s="197" t="s">
        <v>8</v>
      </c>
      <c r="D37" s="197" t="s">
        <v>126</v>
      </c>
      <c r="E37" s="198" t="s">
        <v>6</v>
      </c>
      <c r="F37" s="171">
        <f>F38+F43+F50+F56+F66+F61</f>
        <v>103301641.60000001</v>
      </c>
      <c r="G37" s="171">
        <f t="shared" ref="G37:I37" si="21">G38+G43+G50+G56+G66+G61</f>
        <v>87363770.599999994</v>
      </c>
      <c r="H37" s="171">
        <f t="shared" si="21"/>
        <v>185944738.42000002</v>
      </c>
      <c r="I37" s="171">
        <f t="shared" si="21"/>
        <v>184574738.41999999</v>
      </c>
      <c r="J37" s="216">
        <f t="shared" si="2"/>
        <v>-1370000.0000000298</v>
      </c>
      <c r="K37" s="171"/>
      <c r="L37" s="171">
        <f t="shared" ref="L37" si="22">L38+L43+L50+L56+L66+L61</f>
        <v>122443588.42</v>
      </c>
    </row>
    <row r="38" spans="1:14" ht="54" outlineLevel="6">
      <c r="A38" s="164" t="s">
        <v>28</v>
      </c>
      <c r="B38" s="163" t="s">
        <v>504</v>
      </c>
      <c r="C38" s="163" t="s">
        <v>29</v>
      </c>
      <c r="D38" s="163" t="s">
        <v>126</v>
      </c>
      <c r="E38" s="169" t="s">
        <v>6</v>
      </c>
      <c r="F38" s="167">
        <f>F39</f>
        <v>2523500</v>
      </c>
      <c r="G38" s="167">
        <f t="shared" ref="G38:I38" si="23">G39</f>
        <v>2463500</v>
      </c>
      <c r="H38" s="167">
        <f t="shared" si="23"/>
        <v>2846266</v>
      </c>
      <c r="I38" s="167">
        <f t="shared" si="23"/>
        <v>2846266</v>
      </c>
      <c r="J38" s="216">
        <f t="shared" si="2"/>
        <v>0</v>
      </c>
      <c r="K38" s="167"/>
      <c r="L38" s="167">
        <f t="shared" ref="L38:L41" si="24">L39</f>
        <v>2846266</v>
      </c>
    </row>
    <row r="39" spans="1:14" ht="23.25" customHeight="1" outlineLevel="7">
      <c r="A39" s="164" t="s">
        <v>132</v>
      </c>
      <c r="B39" s="163" t="s">
        <v>504</v>
      </c>
      <c r="C39" s="163" t="s">
        <v>29</v>
      </c>
      <c r="D39" s="163" t="s">
        <v>127</v>
      </c>
      <c r="E39" s="169" t="s">
        <v>6</v>
      </c>
      <c r="F39" s="167">
        <f>F40</f>
        <v>2523500</v>
      </c>
      <c r="G39" s="167">
        <f t="shared" ref="G39:I41" si="25">G40</f>
        <v>2463500</v>
      </c>
      <c r="H39" s="167">
        <f t="shared" si="25"/>
        <v>2846266</v>
      </c>
      <c r="I39" s="182">
        <f t="shared" si="25"/>
        <v>2846266</v>
      </c>
      <c r="J39" s="216">
        <f t="shared" si="2"/>
        <v>0</v>
      </c>
      <c r="K39" s="182"/>
      <c r="L39" s="182">
        <f t="shared" si="24"/>
        <v>2846266</v>
      </c>
      <c r="N39" s="4">
        <f>F36-'прил 11 '!F36</f>
        <v>130152992.45999992</v>
      </c>
    </row>
    <row r="40" spans="1:14" ht="36" outlineLevel="2">
      <c r="A40" s="164" t="s">
        <v>500</v>
      </c>
      <c r="B40" s="163" t="s">
        <v>504</v>
      </c>
      <c r="C40" s="163" t="s">
        <v>29</v>
      </c>
      <c r="D40" s="163" t="s">
        <v>501</v>
      </c>
      <c r="E40" s="169" t="s">
        <v>6</v>
      </c>
      <c r="F40" s="167">
        <f>F41</f>
        <v>2523500</v>
      </c>
      <c r="G40" s="167">
        <f t="shared" si="25"/>
        <v>2463500</v>
      </c>
      <c r="H40" s="167">
        <f t="shared" si="25"/>
        <v>2846266</v>
      </c>
      <c r="I40" s="182">
        <f t="shared" si="25"/>
        <v>2846266</v>
      </c>
      <c r="J40" s="216">
        <f t="shared" si="2"/>
        <v>0</v>
      </c>
      <c r="K40" s="216"/>
      <c r="L40" s="182">
        <f t="shared" si="24"/>
        <v>2846266</v>
      </c>
    </row>
    <row r="41" spans="1:14" ht="56.25" customHeight="1" outlineLevel="3">
      <c r="A41" s="164" t="s">
        <v>11</v>
      </c>
      <c r="B41" s="163" t="s">
        <v>504</v>
      </c>
      <c r="C41" s="163" t="s">
        <v>29</v>
      </c>
      <c r="D41" s="163" t="s">
        <v>501</v>
      </c>
      <c r="E41" s="169" t="s">
        <v>12</v>
      </c>
      <c r="F41" s="167">
        <f>F42</f>
        <v>2523500</v>
      </c>
      <c r="G41" s="167">
        <f t="shared" si="25"/>
        <v>2463500</v>
      </c>
      <c r="H41" s="167">
        <f t="shared" si="25"/>
        <v>2846266</v>
      </c>
      <c r="I41" s="182">
        <f t="shared" si="25"/>
        <v>2846266</v>
      </c>
      <c r="J41" s="216">
        <f t="shared" si="2"/>
        <v>0</v>
      </c>
      <c r="K41" s="216"/>
      <c r="L41" s="182">
        <f t="shared" si="24"/>
        <v>2846266</v>
      </c>
    </row>
    <row r="42" spans="1:14" ht="19.5" customHeight="1" outlineLevel="5">
      <c r="A42" s="164" t="s">
        <v>13</v>
      </c>
      <c r="B42" s="163" t="s">
        <v>504</v>
      </c>
      <c r="C42" s="163" t="s">
        <v>29</v>
      </c>
      <c r="D42" s="163" t="s">
        <v>501</v>
      </c>
      <c r="E42" s="169" t="s">
        <v>14</v>
      </c>
      <c r="F42" s="167">
        <v>2523500</v>
      </c>
      <c r="G42" s="167">
        <v>2463500</v>
      </c>
      <c r="H42" s="167">
        <v>2846266</v>
      </c>
      <c r="I42" s="182">
        <v>2846266</v>
      </c>
      <c r="J42" s="216">
        <f t="shared" si="2"/>
        <v>0</v>
      </c>
      <c r="K42" s="216"/>
      <c r="L42" s="182">
        <v>2846266</v>
      </c>
    </row>
    <row r="43" spans="1:14" ht="90" outlineLevel="6">
      <c r="A43" s="164" t="s">
        <v>30</v>
      </c>
      <c r="B43" s="163" t="s">
        <v>504</v>
      </c>
      <c r="C43" s="163" t="s">
        <v>31</v>
      </c>
      <c r="D43" s="163" t="s">
        <v>126</v>
      </c>
      <c r="E43" s="169" t="s">
        <v>6</v>
      </c>
      <c r="F43" s="167">
        <f>F44</f>
        <v>23271932</v>
      </c>
      <c r="G43" s="167">
        <f t="shared" ref="G43:I44" si="26">G44</f>
        <v>20575252</v>
      </c>
      <c r="H43" s="167">
        <f t="shared" si="26"/>
        <v>21661336</v>
      </c>
      <c r="I43" s="182">
        <f t="shared" si="26"/>
        <v>21661336</v>
      </c>
      <c r="J43" s="216">
        <f t="shared" si="2"/>
        <v>0</v>
      </c>
      <c r="K43" s="216"/>
      <c r="L43" s="182">
        <f t="shared" ref="L43:L44" si="27">L44</f>
        <v>21661336</v>
      </c>
    </row>
    <row r="44" spans="1:14" ht="36" outlineLevel="7">
      <c r="A44" s="164" t="s">
        <v>132</v>
      </c>
      <c r="B44" s="163" t="s">
        <v>504</v>
      </c>
      <c r="C44" s="163" t="s">
        <v>31</v>
      </c>
      <c r="D44" s="163" t="s">
        <v>127</v>
      </c>
      <c r="E44" s="169" t="s">
        <v>6</v>
      </c>
      <c r="F44" s="167">
        <f>F45</f>
        <v>23271932</v>
      </c>
      <c r="G44" s="167">
        <f t="shared" si="26"/>
        <v>20575252</v>
      </c>
      <c r="H44" s="167">
        <f t="shared" si="26"/>
        <v>21661336</v>
      </c>
      <c r="I44" s="182">
        <f t="shared" si="26"/>
        <v>21661336</v>
      </c>
      <c r="J44" s="216">
        <f t="shared" si="2"/>
        <v>0</v>
      </c>
      <c r="K44" s="216"/>
      <c r="L44" s="182">
        <f t="shared" si="27"/>
        <v>21661336</v>
      </c>
    </row>
    <row r="45" spans="1:14" ht="72" outlineLevel="6">
      <c r="A45" s="164" t="s">
        <v>498</v>
      </c>
      <c r="B45" s="163" t="s">
        <v>504</v>
      </c>
      <c r="C45" s="163" t="s">
        <v>31</v>
      </c>
      <c r="D45" s="163" t="s">
        <v>499</v>
      </c>
      <c r="E45" s="169" t="s">
        <v>6</v>
      </c>
      <c r="F45" s="167">
        <f>F46+F48</f>
        <v>23271932</v>
      </c>
      <c r="G45" s="167">
        <f t="shared" ref="G45:H45" si="28">G46+G48</f>
        <v>20575252</v>
      </c>
      <c r="H45" s="167">
        <f t="shared" si="28"/>
        <v>21661336</v>
      </c>
      <c r="I45" s="182">
        <f t="shared" ref="I45" si="29">I46+I48</f>
        <v>21661336</v>
      </c>
      <c r="J45" s="216">
        <f t="shared" si="2"/>
        <v>0</v>
      </c>
      <c r="K45" s="216"/>
      <c r="L45" s="182">
        <f t="shared" ref="L45" si="30">L46+L48</f>
        <v>21661336</v>
      </c>
    </row>
    <row r="46" spans="1:14" ht="56.25" customHeight="1" outlineLevel="7">
      <c r="A46" s="164" t="s">
        <v>11</v>
      </c>
      <c r="B46" s="163" t="s">
        <v>504</v>
      </c>
      <c r="C46" s="163" t="s">
        <v>31</v>
      </c>
      <c r="D46" s="163" t="s">
        <v>499</v>
      </c>
      <c r="E46" s="169" t="s">
        <v>12</v>
      </c>
      <c r="F46" s="167">
        <f>F47</f>
        <v>23179932</v>
      </c>
      <c r="G46" s="167">
        <f t="shared" ref="G46:I46" si="31">G47</f>
        <v>20483252</v>
      </c>
      <c r="H46" s="167">
        <f t="shared" si="31"/>
        <v>21569336</v>
      </c>
      <c r="I46" s="182">
        <f t="shared" si="31"/>
        <v>21569336</v>
      </c>
      <c r="J46" s="216">
        <f t="shared" si="2"/>
        <v>0</v>
      </c>
      <c r="K46" s="216"/>
      <c r="L46" s="182">
        <f t="shared" ref="L46" si="32">L47</f>
        <v>21569336</v>
      </c>
    </row>
    <row r="47" spans="1:14" ht="19.5" customHeight="1" outlineLevel="7">
      <c r="A47" s="164" t="s">
        <v>13</v>
      </c>
      <c r="B47" s="163" t="s">
        <v>504</v>
      </c>
      <c r="C47" s="163" t="s">
        <v>31</v>
      </c>
      <c r="D47" s="163" t="s">
        <v>499</v>
      </c>
      <c r="E47" s="169" t="s">
        <v>14</v>
      </c>
      <c r="F47" s="167">
        <v>23179932</v>
      </c>
      <c r="G47" s="167">
        <v>20483252</v>
      </c>
      <c r="H47" s="218">
        <v>21569336</v>
      </c>
      <c r="I47" s="204">
        <f>20600000+969336</f>
        <v>21569336</v>
      </c>
      <c r="J47" s="216">
        <f t="shared" si="2"/>
        <v>0</v>
      </c>
      <c r="K47" s="216"/>
      <c r="L47" s="204">
        <f>20600000+969336</f>
        <v>21569336</v>
      </c>
    </row>
    <row r="48" spans="1:14" ht="19.5" customHeight="1" outlineLevel="7">
      <c r="A48" s="164" t="s">
        <v>15</v>
      </c>
      <c r="B48" s="163" t="s">
        <v>504</v>
      </c>
      <c r="C48" s="163" t="s">
        <v>31</v>
      </c>
      <c r="D48" s="163" t="s">
        <v>499</v>
      </c>
      <c r="E48" s="169" t="s">
        <v>16</v>
      </c>
      <c r="F48" s="167">
        <f>F49</f>
        <v>92000</v>
      </c>
      <c r="G48" s="167">
        <f t="shared" ref="G48:I48" si="33">G49</f>
        <v>92000</v>
      </c>
      <c r="H48" s="167">
        <f t="shared" si="33"/>
        <v>92000</v>
      </c>
      <c r="I48" s="182">
        <f t="shared" si="33"/>
        <v>92000</v>
      </c>
      <c r="J48" s="216">
        <f t="shared" si="2"/>
        <v>0</v>
      </c>
      <c r="K48" s="216"/>
      <c r="L48" s="182">
        <f t="shared" ref="L48" si="34">L49</f>
        <v>92000</v>
      </c>
    </row>
    <row r="49" spans="1:12" ht="54" outlineLevel="7">
      <c r="A49" s="164" t="s">
        <v>17</v>
      </c>
      <c r="B49" s="163" t="s">
        <v>504</v>
      </c>
      <c r="C49" s="163" t="s">
        <v>31</v>
      </c>
      <c r="D49" s="163" t="s">
        <v>499</v>
      </c>
      <c r="E49" s="169" t="s">
        <v>18</v>
      </c>
      <c r="F49" s="167">
        <v>92000</v>
      </c>
      <c r="G49" s="167">
        <v>92000</v>
      </c>
      <c r="H49" s="218">
        <v>92000</v>
      </c>
      <c r="I49" s="204">
        <v>92000</v>
      </c>
      <c r="J49" s="216">
        <f t="shared" si="2"/>
        <v>0</v>
      </c>
      <c r="K49" s="216"/>
      <c r="L49" s="204">
        <v>92000</v>
      </c>
    </row>
    <row r="50" spans="1:12" outlineLevel="7">
      <c r="A50" s="164" t="s">
        <v>260</v>
      </c>
      <c r="B50" s="163" t="s">
        <v>504</v>
      </c>
      <c r="C50" s="163" t="s">
        <v>261</v>
      </c>
      <c r="D50" s="163" t="s">
        <v>126</v>
      </c>
      <c r="E50" s="169" t="s">
        <v>6</v>
      </c>
      <c r="F50" s="184">
        <f>F51</f>
        <v>32752.48</v>
      </c>
      <c r="G50" s="184">
        <f t="shared" ref="G50:I50" si="35">G51</f>
        <v>214169.4</v>
      </c>
      <c r="H50" s="184">
        <f t="shared" si="35"/>
        <v>193185</v>
      </c>
      <c r="I50" s="195">
        <f t="shared" si="35"/>
        <v>193185</v>
      </c>
      <c r="J50" s="216">
        <f t="shared" si="2"/>
        <v>0</v>
      </c>
      <c r="K50" s="216"/>
      <c r="L50" s="195">
        <f t="shared" ref="L50" si="36">L51</f>
        <v>193185</v>
      </c>
    </row>
    <row r="51" spans="1:12" ht="20.25" customHeight="1" outlineLevel="7">
      <c r="A51" s="164" t="s">
        <v>132</v>
      </c>
      <c r="B51" s="163" t="s">
        <v>504</v>
      </c>
      <c r="C51" s="163" t="s">
        <v>261</v>
      </c>
      <c r="D51" s="163" t="s">
        <v>127</v>
      </c>
      <c r="E51" s="169" t="s">
        <v>6</v>
      </c>
      <c r="F51" s="184">
        <f>F53</f>
        <v>32752.48</v>
      </c>
      <c r="G51" s="184">
        <f t="shared" ref="G51:H51" si="37">G53</f>
        <v>214169.4</v>
      </c>
      <c r="H51" s="184">
        <f t="shared" si="37"/>
        <v>193185</v>
      </c>
      <c r="I51" s="195">
        <f t="shared" ref="I51" si="38">I53</f>
        <v>193185</v>
      </c>
      <c r="J51" s="216">
        <f t="shared" si="2"/>
        <v>0</v>
      </c>
      <c r="K51" s="216"/>
      <c r="L51" s="195">
        <f t="shared" ref="L51" si="39">L53</f>
        <v>193185</v>
      </c>
    </row>
    <row r="52" spans="1:12" ht="36" outlineLevel="7">
      <c r="A52" s="164" t="s">
        <v>277</v>
      </c>
      <c r="B52" s="163" t="s">
        <v>504</v>
      </c>
      <c r="C52" s="163" t="s">
        <v>261</v>
      </c>
      <c r="D52" s="163" t="s">
        <v>276</v>
      </c>
      <c r="E52" s="169" t="s">
        <v>6</v>
      </c>
      <c r="F52" s="184">
        <f>F53</f>
        <v>32752.48</v>
      </c>
      <c r="G52" s="184">
        <f t="shared" ref="G52:I54" si="40">G53</f>
        <v>214169.4</v>
      </c>
      <c r="H52" s="184">
        <f t="shared" si="40"/>
        <v>193185</v>
      </c>
      <c r="I52" s="195">
        <f t="shared" si="40"/>
        <v>193185</v>
      </c>
      <c r="J52" s="216">
        <f t="shared" si="2"/>
        <v>0</v>
      </c>
      <c r="K52" s="216"/>
      <c r="L52" s="195">
        <f t="shared" ref="L52:L54" si="41">L53</f>
        <v>193185</v>
      </c>
    </row>
    <row r="53" spans="1:12" ht="74.25" customHeight="1" outlineLevel="2">
      <c r="A53" s="164" t="s">
        <v>410</v>
      </c>
      <c r="B53" s="163" t="s">
        <v>504</v>
      </c>
      <c r="C53" s="163" t="s">
        <v>261</v>
      </c>
      <c r="D53" s="163" t="s">
        <v>285</v>
      </c>
      <c r="E53" s="169" t="s">
        <v>6</v>
      </c>
      <c r="F53" s="184">
        <f>F54</f>
        <v>32752.48</v>
      </c>
      <c r="G53" s="184">
        <f t="shared" si="40"/>
        <v>214169.4</v>
      </c>
      <c r="H53" s="184">
        <f t="shared" si="40"/>
        <v>193185</v>
      </c>
      <c r="I53" s="195">
        <f t="shared" si="40"/>
        <v>193185</v>
      </c>
      <c r="J53" s="216">
        <f t="shared" si="2"/>
        <v>0</v>
      </c>
      <c r="K53" s="216"/>
      <c r="L53" s="195">
        <f t="shared" si="41"/>
        <v>193185</v>
      </c>
    </row>
    <row r="54" spans="1:12" ht="20.25" customHeight="1" outlineLevel="4">
      <c r="A54" s="164" t="s">
        <v>15</v>
      </c>
      <c r="B54" s="163" t="s">
        <v>504</v>
      </c>
      <c r="C54" s="163" t="s">
        <v>261</v>
      </c>
      <c r="D54" s="163" t="s">
        <v>285</v>
      </c>
      <c r="E54" s="169" t="s">
        <v>16</v>
      </c>
      <c r="F54" s="184">
        <f>F55</f>
        <v>32752.48</v>
      </c>
      <c r="G54" s="184">
        <f t="shared" si="40"/>
        <v>214169.4</v>
      </c>
      <c r="H54" s="184">
        <f t="shared" si="40"/>
        <v>193185</v>
      </c>
      <c r="I54" s="195">
        <f t="shared" si="40"/>
        <v>193185</v>
      </c>
      <c r="J54" s="216">
        <f t="shared" si="2"/>
        <v>0</v>
      </c>
      <c r="K54" s="216"/>
      <c r="L54" s="195">
        <f t="shared" si="41"/>
        <v>193185</v>
      </c>
    </row>
    <row r="55" spans="1:12" ht="54" outlineLevel="5">
      <c r="A55" s="164" t="s">
        <v>17</v>
      </c>
      <c r="B55" s="163" t="s">
        <v>504</v>
      </c>
      <c r="C55" s="163" t="s">
        <v>261</v>
      </c>
      <c r="D55" s="163" t="s">
        <v>285</v>
      </c>
      <c r="E55" s="169" t="s">
        <v>18</v>
      </c>
      <c r="F55" s="167">
        <v>32752.48</v>
      </c>
      <c r="G55" s="167">
        <v>214169.4</v>
      </c>
      <c r="H55" s="167">
        <v>193185</v>
      </c>
      <c r="I55" s="182">
        <v>193185</v>
      </c>
      <c r="J55" s="216">
        <f t="shared" si="2"/>
        <v>0</v>
      </c>
      <c r="K55" s="216"/>
      <c r="L55" s="182">
        <v>193185</v>
      </c>
    </row>
    <row r="56" spans="1:12" ht="72" outlineLevel="6">
      <c r="A56" s="164" t="s">
        <v>9</v>
      </c>
      <c r="B56" s="163" t="s">
        <v>504</v>
      </c>
      <c r="C56" s="163" t="s">
        <v>10</v>
      </c>
      <c r="D56" s="163" t="s">
        <v>126</v>
      </c>
      <c r="E56" s="169" t="s">
        <v>6</v>
      </c>
      <c r="F56" s="167">
        <f>F57</f>
        <v>769682.14</v>
      </c>
      <c r="G56" s="167">
        <f t="shared" ref="G56:I59" si="42">G57</f>
        <v>710242</v>
      </c>
      <c r="H56" s="167">
        <f t="shared" si="42"/>
        <v>825175</v>
      </c>
      <c r="I56" s="182">
        <f t="shared" si="42"/>
        <v>825175</v>
      </c>
      <c r="J56" s="216">
        <f t="shared" si="2"/>
        <v>0</v>
      </c>
      <c r="K56" s="216"/>
      <c r="L56" s="182">
        <f t="shared" ref="L56:L59" si="43">L57</f>
        <v>825175</v>
      </c>
    </row>
    <row r="57" spans="1:12" ht="36" outlineLevel="7">
      <c r="A57" s="164" t="s">
        <v>132</v>
      </c>
      <c r="B57" s="163" t="s">
        <v>504</v>
      </c>
      <c r="C57" s="163" t="s">
        <v>10</v>
      </c>
      <c r="D57" s="163" t="s">
        <v>127</v>
      </c>
      <c r="E57" s="169" t="s">
        <v>6</v>
      </c>
      <c r="F57" s="167">
        <f>F58</f>
        <v>769682.14</v>
      </c>
      <c r="G57" s="167">
        <f t="shared" si="42"/>
        <v>710242</v>
      </c>
      <c r="H57" s="167">
        <f t="shared" si="42"/>
        <v>825175</v>
      </c>
      <c r="I57" s="182">
        <f t="shared" si="42"/>
        <v>825175</v>
      </c>
      <c r="J57" s="216">
        <f t="shared" si="2"/>
        <v>0</v>
      </c>
      <c r="K57" s="216"/>
      <c r="L57" s="182">
        <f t="shared" si="43"/>
        <v>825175</v>
      </c>
    </row>
    <row r="58" spans="1:12" ht="20.25" customHeight="1" outlineLevel="2">
      <c r="A58" s="164" t="s">
        <v>502</v>
      </c>
      <c r="B58" s="163" t="s">
        <v>504</v>
      </c>
      <c r="C58" s="163" t="s">
        <v>10</v>
      </c>
      <c r="D58" s="163" t="s">
        <v>541</v>
      </c>
      <c r="E58" s="169" t="s">
        <v>6</v>
      </c>
      <c r="F58" s="167">
        <f>F59</f>
        <v>769682.14</v>
      </c>
      <c r="G58" s="167">
        <f t="shared" si="42"/>
        <v>710242</v>
      </c>
      <c r="H58" s="167">
        <f t="shared" si="42"/>
        <v>825175</v>
      </c>
      <c r="I58" s="182">
        <f t="shared" si="42"/>
        <v>825175</v>
      </c>
      <c r="J58" s="216">
        <f t="shared" si="2"/>
        <v>0</v>
      </c>
      <c r="K58" s="216"/>
      <c r="L58" s="182">
        <f t="shared" si="43"/>
        <v>825175</v>
      </c>
    </row>
    <row r="59" spans="1:12" ht="56.25" customHeight="1" outlineLevel="3">
      <c r="A59" s="164" t="s">
        <v>11</v>
      </c>
      <c r="B59" s="163" t="s">
        <v>504</v>
      </c>
      <c r="C59" s="163" t="s">
        <v>10</v>
      </c>
      <c r="D59" s="163" t="s">
        <v>541</v>
      </c>
      <c r="E59" s="169" t="s">
        <v>12</v>
      </c>
      <c r="F59" s="167">
        <f>F60</f>
        <v>769682.14</v>
      </c>
      <c r="G59" s="167">
        <f t="shared" si="42"/>
        <v>710242</v>
      </c>
      <c r="H59" s="167">
        <f t="shared" si="42"/>
        <v>825175</v>
      </c>
      <c r="I59" s="182">
        <f t="shared" si="42"/>
        <v>825175</v>
      </c>
      <c r="J59" s="216">
        <f t="shared" si="2"/>
        <v>0</v>
      </c>
      <c r="K59" s="216"/>
      <c r="L59" s="182">
        <f t="shared" si="43"/>
        <v>825175</v>
      </c>
    </row>
    <row r="60" spans="1:12" ht="19.5" customHeight="1" outlineLevel="4">
      <c r="A60" s="164" t="s">
        <v>13</v>
      </c>
      <c r="B60" s="163" t="s">
        <v>504</v>
      </c>
      <c r="C60" s="163" t="s">
        <v>10</v>
      </c>
      <c r="D60" s="163" t="s">
        <v>541</v>
      </c>
      <c r="E60" s="169" t="s">
        <v>14</v>
      </c>
      <c r="F60" s="167">
        <v>769682.14</v>
      </c>
      <c r="G60" s="167">
        <v>710242</v>
      </c>
      <c r="H60" s="167">
        <v>825175</v>
      </c>
      <c r="I60" s="182">
        <v>825175</v>
      </c>
      <c r="J60" s="216">
        <f t="shared" si="2"/>
        <v>0</v>
      </c>
      <c r="K60" s="216"/>
      <c r="L60" s="182">
        <v>825175</v>
      </c>
    </row>
    <row r="61" spans="1:12" ht="19.5" customHeight="1" outlineLevel="4">
      <c r="A61" s="164" t="s">
        <v>709</v>
      </c>
      <c r="B61" s="163" t="s">
        <v>504</v>
      </c>
      <c r="C61" s="163" t="s">
        <v>706</v>
      </c>
      <c r="D61" s="163" t="s">
        <v>126</v>
      </c>
      <c r="E61" s="163" t="s">
        <v>6</v>
      </c>
      <c r="F61" s="167">
        <f>F62</f>
        <v>869164.66999999993</v>
      </c>
      <c r="G61" s="167">
        <f t="shared" ref="G61:I64" si="44">G62</f>
        <v>0</v>
      </c>
      <c r="H61" s="167">
        <f t="shared" si="44"/>
        <v>90000000</v>
      </c>
      <c r="I61" s="167">
        <f t="shared" si="44"/>
        <v>89999999.999999985</v>
      </c>
      <c r="J61" s="216">
        <f t="shared" si="2"/>
        <v>0</v>
      </c>
      <c r="K61" s="216"/>
      <c r="L61" s="167">
        <f t="shared" ref="L61:L64" si="45">L62</f>
        <v>27868850</v>
      </c>
    </row>
    <row r="62" spans="1:12" ht="19.5" customHeight="1" outlineLevel="4">
      <c r="A62" s="164" t="s">
        <v>132</v>
      </c>
      <c r="B62" s="163" t="s">
        <v>504</v>
      </c>
      <c r="C62" s="163" t="s">
        <v>706</v>
      </c>
      <c r="D62" s="163" t="s">
        <v>127</v>
      </c>
      <c r="E62" s="163" t="s">
        <v>6</v>
      </c>
      <c r="F62" s="167">
        <f>F63</f>
        <v>869164.66999999993</v>
      </c>
      <c r="G62" s="167">
        <f t="shared" si="44"/>
        <v>0</v>
      </c>
      <c r="H62" s="167">
        <f t="shared" si="44"/>
        <v>90000000</v>
      </c>
      <c r="I62" s="167">
        <f t="shared" si="44"/>
        <v>89999999.999999985</v>
      </c>
      <c r="J62" s="216">
        <f t="shared" si="2"/>
        <v>0</v>
      </c>
      <c r="K62" s="216"/>
      <c r="L62" s="167">
        <f t="shared" si="45"/>
        <v>27868850</v>
      </c>
    </row>
    <row r="63" spans="1:12" ht="19.5" customHeight="1" outlineLevel="4">
      <c r="A63" s="164" t="s">
        <v>708</v>
      </c>
      <c r="B63" s="163" t="s">
        <v>504</v>
      </c>
      <c r="C63" s="163" t="s">
        <v>706</v>
      </c>
      <c r="D63" s="163" t="s">
        <v>543</v>
      </c>
      <c r="E63" s="163" t="s">
        <v>6</v>
      </c>
      <c r="F63" s="167">
        <f>F64</f>
        <v>869164.66999999993</v>
      </c>
      <c r="G63" s="167">
        <f t="shared" si="44"/>
        <v>0</v>
      </c>
      <c r="H63" s="167">
        <f t="shared" si="44"/>
        <v>90000000</v>
      </c>
      <c r="I63" s="167">
        <f t="shared" si="44"/>
        <v>89999999.999999985</v>
      </c>
      <c r="J63" s="216">
        <f t="shared" si="2"/>
        <v>0</v>
      </c>
      <c r="K63" s="216"/>
      <c r="L63" s="167">
        <f t="shared" si="45"/>
        <v>27868850</v>
      </c>
    </row>
    <row r="64" spans="1:12" ht="19.5" customHeight="1" outlineLevel="4">
      <c r="A64" s="164" t="s">
        <v>19</v>
      </c>
      <c r="B64" s="163" t="s">
        <v>504</v>
      </c>
      <c r="C64" s="163" t="s">
        <v>706</v>
      </c>
      <c r="D64" s="163" t="s">
        <v>543</v>
      </c>
      <c r="E64" s="163" t="s">
        <v>20</v>
      </c>
      <c r="F64" s="167">
        <f>F65</f>
        <v>869164.66999999993</v>
      </c>
      <c r="G64" s="167">
        <f t="shared" si="44"/>
        <v>0</v>
      </c>
      <c r="H64" s="167">
        <f t="shared" si="44"/>
        <v>90000000</v>
      </c>
      <c r="I64" s="167">
        <f t="shared" si="44"/>
        <v>89999999.999999985</v>
      </c>
      <c r="J64" s="216">
        <f t="shared" si="2"/>
        <v>0</v>
      </c>
      <c r="K64" s="216"/>
      <c r="L64" s="167">
        <f t="shared" si="45"/>
        <v>27868850</v>
      </c>
    </row>
    <row r="65" spans="1:12" ht="19.5" customHeight="1" outlineLevel="4">
      <c r="A65" s="164" t="s">
        <v>707</v>
      </c>
      <c r="B65" s="163" t="s">
        <v>504</v>
      </c>
      <c r="C65" s="163" t="s">
        <v>706</v>
      </c>
      <c r="D65" s="163" t="s">
        <v>543</v>
      </c>
      <c r="E65" s="163" t="s">
        <v>705</v>
      </c>
      <c r="F65" s="167">
        <f>1049164.67-180000</f>
        <v>869164.66999999993</v>
      </c>
      <c r="G65" s="167">
        <v>0</v>
      </c>
      <c r="H65" s="167">
        <v>90000000</v>
      </c>
      <c r="I65" s="167">
        <f>40328000+38975547.04-102547.04-13653664.49+7500000+16952664.49</f>
        <v>89999999.999999985</v>
      </c>
      <c r="J65" s="216">
        <f t="shared" si="2"/>
        <v>0</v>
      </c>
      <c r="K65" s="216">
        <f>-69131150+7000000</f>
        <v>-62131150</v>
      </c>
      <c r="L65" s="167">
        <f>20868850+7000000</f>
        <v>27868850</v>
      </c>
    </row>
    <row r="66" spans="1:12" outlineLevel="7">
      <c r="A66" s="164" t="s">
        <v>23</v>
      </c>
      <c r="B66" s="163" t="s">
        <v>504</v>
      </c>
      <c r="C66" s="163" t="s">
        <v>24</v>
      </c>
      <c r="D66" s="163" t="s">
        <v>126</v>
      </c>
      <c r="E66" s="169" t="s">
        <v>6</v>
      </c>
      <c r="F66" s="167">
        <f>F67+F90+F103+F95+F110</f>
        <v>75834610.310000002</v>
      </c>
      <c r="G66" s="167">
        <f>G67+G90+G103+G95+G110</f>
        <v>63400607.200000003</v>
      </c>
      <c r="H66" s="167">
        <f>H67+H90+H103+H95+H110</f>
        <v>70418776.420000002</v>
      </c>
      <c r="I66" s="182">
        <f>I67+I90+I103+I95+I110</f>
        <v>69048776.420000002</v>
      </c>
      <c r="J66" s="216">
        <f t="shared" si="2"/>
        <v>-1370000</v>
      </c>
      <c r="K66" s="216"/>
      <c r="L66" s="182">
        <f>L67+L90+L103+L95+L110</f>
        <v>69048776.420000002</v>
      </c>
    </row>
    <row r="67" spans="1:12" ht="72" outlineLevel="5">
      <c r="A67" s="196" t="s">
        <v>379</v>
      </c>
      <c r="B67" s="197" t="s">
        <v>504</v>
      </c>
      <c r="C67" s="197" t="s">
        <v>24</v>
      </c>
      <c r="D67" s="197" t="s">
        <v>128</v>
      </c>
      <c r="E67" s="198" t="s">
        <v>6</v>
      </c>
      <c r="F67" s="171">
        <f>F68+F75+F83</f>
        <v>24574795.09</v>
      </c>
      <c r="G67" s="171">
        <f>G68+G75+G83</f>
        <v>18411025</v>
      </c>
      <c r="H67" s="171">
        <f>H68+H75+H83</f>
        <v>24417935</v>
      </c>
      <c r="I67" s="199">
        <f t="shared" ref="I67" si="46">I68+I75+I83</f>
        <v>23047935</v>
      </c>
      <c r="J67" s="216">
        <f t="shared" si="2"/>
        <v>-1370000</v>
      </c>
      <c r="K67" s="216"/>
      <c r="L67" s="199">
        <f t="shared" ref="L67" si="47">L68+L75+L83</f>
        <v>23047935</v>
      </c>
    </row>
    <row r="68" spans="1:12" ht="72" outlineLevel="6">
      <c r="A68" s="164" t="s">
        <v>214</v>
      </c>
      <c r="B68" s="163" t="s">
        <v>504</v>
      </c>
      <c r="C68" s="163" t="s">
        <v>24</v>
      </c>
      <c r="D68" s="163" t="s">
        <v>315</v>
      </c>
      <c r="E68" s="169" t="s">
        <v>6</v>
      </c>
      <c r="F68" s="184">
        <f>F69+F72</f>
        <v>795385</v>
      </c>
      <c r="G68" s="184">
        <f t="shared" ref="G68:H68" si="48">G69+G72</f>
        <v>262385</v>
      </c>
      <c r="H68" s="184">
        <f t="shared" si="48"/>
        <v>795385</v>
      </c>
      <c r="I68" s="195">
        <f t="shared" ref="I68" si="49">I69+I72</f>
        <v>795385</v>
      </c>
      <c r="J68" s="216">
        <f t="shared" si="2"/>
        <v>0</v>
      </c>
      <c r="K68" s="216"/>
      <c r="L68" s="195">
        <f t="shared" ref="L68" si="50">L69+L72</f>
        <v>795385</v>
      </c>
    </row>
    <row r="69" spans="1:12" ht="36" outlineLevel="7">
      <c r="A69" s="164" t="s">
        <v>321</v>
      </c>
      <c r="B69" s="163" t="s">
        <v>504</v>
      </c>
      <c r="C69" s="163" t="s">
        <v>24</v>
      </c>
      <c r="D69" s="163" t="s">
        <v>316</v>
      </c>
      <c r="E69" s="169" t="s">
        <v>6</v>
      </c>
      <c r="F69" s="184">
        <f>F70</f>
        <v>745385</v>
      </c>
      <c r="G69" s="184">
        <f t="shared" ref="G69:I70" si="51">G70</f>
        <v>212385</v>
      </c>
      <c r="H69" s="184">
        <f t="shared" si="51"/>
        <v>745385</v>
      </c>
      <c r="I69" s="195">
        <f t="shared" si="51"/>
        <v>745385</v>
      </c>
      <c r="J69" s="216">
        <f t="shared" si="2"/>
        <v>0</v>
      </c>
      <c r="K69" s="216"/>
      <c r="L69" s="195">
        <f t="shared" ref="L69:L70" si="52">L70</f>
        <v>745385</v>
      </c>
    </row>
    <row r="70" spans="1:12" ht="18.75" customHeight="1" outlineLevel="6">
      <c r="A70" s="164" t="s">
        <v>15</v>
      </c>
      <c r="B70" s="163" t="s">
        <v>504</v>
      </c>
      <c r="C70" s="163" t="s">
        <v>24</v>
      </c>
      <c r="D70" s="163" t="s">
        <v>316</v>
      </c>
      <c r="E70" s="169" t="s">
        <v>16</v>
      </c>
      <c r="F70" s="167">
        <f>F71</f>
        <v>745385</v>
      </c>
      <c r="G70" s="167">
        <f t="shared" si="51"/>
        <v>212385</v>
      </c>
      <c r="H70" s="167">
        <f t="shared" si="51"/>
        <v>745385</v>
      </c>
      <c r="I70" s="182">
        <f t="shared" si="51"/>
        <v>745385</v>
      </c>
      <c r="J70" s="216">
        <f t="shared" si="2"/>
        <v>0</v>
      </c>
      <c r="K70" s="216"/>
      <c r="L70" s="182">
        <f t="shared" si="52"/>
        <v>745385</v>
      </c>
    </row>
    <row r="71" spans="1:12" ht="54" outlineLevel="7">
      <c r="A71" s="164" t="s">
        <v>17</v>
      </c>
      <c r="B71" s="163" t="s">
        <v>504</v>
      </c>
      <c r="C71" s="163" t="s">
        <v>24</v>
      </c>
      <c r="D71" s="163" t="s">
        <v>316</v>
      </c>
      <c r="E71" s="169" t="s">
        <v>18</v>
      </c>
      <c r="F71" s="167">
        <v>745385</v>
      </c>
      <c r="G71" s="167">
        <v>212385</v>
      </c>
      <c r="H71" s="184">
        <v>745385</v>
      </c>
      <c r="I71" s="195">
        <v>745385</v>
      </c>
      <c r="J71" s="216">
        <f t="shared" si="2"/>
        <v>0</v>
      </c>
      <c r="K71" s="216"/>
      <c r="L71" s="195">
        <v>745385</v>
      </c>
    </row>
    <row r="72" spans="1:12" ht="36" outlineLevel="6">
      <c r="A72" s="164" t="s">
        <v>322</v>
      </c>
      <c r="B72" s="163" t="s">
        <v>504</v>
      </c>
      <c r="C72" s="163" t="s">
        <v>24</v>
      </c>
      <c r="D72" s="163" t="s">
        <v>323</v>
      </c>
      <c r="E72" s="169" t="s">
        <v>6</v>
      </c>
      <c r="F72" s="184">
        <f>F73</f>
        <v>50000</v>
      </c>
      <c r="G72" s="184">
        <f t="shared" ref="G72:I73" si="53">G73</f>
        <v>50000</v>
      </c>
      <c r="H72" s="184">
        <f t="shared" si="53"/>
        <v>50000</v>
      </c>
      <c r="I72" s="195">
        <f t="shared" si="53"/>
        <v>50000</v>
      </c>
      <c r="J72" s="216">
        <f t="shared" si="2"/>
        <v>0</v>
      </c>
      <c r="K72" s="216"/>
      <c r="L72" s="195">
        <f t="shared" ref="L72:L73" si="54">L73</f>
        <v>50000</v>
      </c>
    </row>
    <row r="73" spans="1:12" ht="18.75" customHeight="1" outlineLevel="7">
      <c r="A73" s="164" t="s">
        <v>15</v>
      </c>
      <c r="B73" s="163" t="s">
        <v>504</v>
      </c>
      <c r="C73" s="163" t="s">
        <v>24</v>
      </c>
      <c r="D73" s="163" t="s">
        <v>323</v>
      </c>
      <c r="E73" s="169" t="s">
        <v>16</v>
      </c>
      <c r="F73" s="167">
        <f>F74</f>
        <v>50000</v>
      </c>
      <c r="G73" s="167">
        <f t="shared" si="53"/>
        <v>50000</v>
      </c>
      <c r="H73" s="167">
        <f t="shared" si="53"/>
        <v>50000</v>
      </c>
      <c r="I73" s="182">
        <f t="shared" si="53"/>
        <v>50000</v>
      </c>
      <c r="J73" s="216">
        <f t="shared" si="2"/>
        <v>0</v>
      </c>
      <c r="K73" s="216"/>
      <c r="L73" s="182">
        <f t="shared" si="54"/>
        <v>50000</v>
      </c>
    </row>
    <row r="74" spans="1:12" ht="54" outlineLevel="3">
      <c r="A74" s="164" t="s">
        <v>17</v>
      </c>
      <c r="B74" s="163" t="s">
        <v>504</v>
      </c>
      <c r="C74" s="163" t="s">
        <v>24</v>
      </c>
      <c r="D74" s="163" t="s">
        <v>323</v>
      </c>
      <c r="E74" s="169" t="s">
        <v>18</v>
      </c>
      <c r="F74" s="167">
        <v>50000</v>
      </c>
      <c r="G74" s="167">
        <v>50000</v>
      </c>
      <c r="H74" s="167">
        <v>50000</v>
      </c>
      <c r="I74" s="182">
        <v>50000</v>
      </c>
      <c r="J74" s="216">
        <f t="shared" si="2"/>
        <v>0</v>
      </c>
      <c r="K74" s="216"/>
      <c r="L74" s="182">
        <v>50000</v>
      </c>
    </row>
    <row r="75" spans="1:12" ht="36" outlineLevel="5">
      <c r="A75" s="164" t="s">
        <v>216</v>
      </c>
      <c r="B75" s="163" t="s">
        <v>504</v>
      </c>
      <c r="C75" s="163" t="s">
        <v>24</v>
      </c>
      <c r="D75" s="163" t="s">
        <v>231</v>
      </c>
      <c r="E75" s="169" t="s">
        <v>6</v>
      </c>
      <c r="F75" s="184">
        <f>F76</f>
        <v>20836310.09</v>
      </c>
      <c r="G75" s="184">
        <f t="shared" ref="G75:I75" si="55">G76</f>
        <v>18148640</v>
      </c>
      <c r="H75" s="184">
        <f t="shared" si="55"/>
        <v>22171450</v>
      </c>
      <c r="I75" s="195">
        <f t="shared" si="55"/>
        <v>20801450</v>
      </c>
      <c r="J75" s="216">
        <f t="shared" si="2"/>
        <v>-1370000</v>
      </c>
      <c r="K75" s="216"/>
      <c r="L75" s="195">
        <f t="shared" ref="L75" si="56">L76</f>
        <v>20801450</v>
      </c>
    </row>
    <row r="76" spans="1:12" ht="54" outlineLevel="6">
      <c r="A76" s="164" t="s">
        <v>33</v>
      </c>
      <c r="B76" s="163" t="s">
        <v>504</v>
      </c>
      <c r="C76" s="163" t="s">
        <v>24</v>
      </c>
      <c r="D76" s="163" t="s">
        <v>130</v>
      </c>
      <c r="E76" s="169" t="s">
        <v>6</v>
      </c>
      <c r="F76" s="167">
        <f>F77+F79+F81</f>
        <v>20836310.09</v>
      </c>
      <c r="G76" s="167">
        <f>G77+G79+G81</f>
        <v>18148640</v>
      </c>
      <c r="H76" s="167">
        <f>H77+H79+H81</f>
        <v>22171450</v>
      </c>
      <c r="I76" s="182">
        <f>I77+I79+I81</f>
        <v>20801450</v>
      </c>
      <c r="J76" s="216">
        <f t="shared" si="2"/>
        <v>-1370000</v>
      </c>
      <c r="K76" s="216"/>
      <c r="L76" s="182">
        <f>L77+L79+L81</f>
        <v>20801450</v>
      </c>
    </row>
    <row r="77" spans="1:12" ht="58.65" customHeight="1" outlineLevel="7">
      <c r="A77" s="164" t="s">
        <v>11</v>
      </c>
      <c r="B77" s="163" t="s">
        <v>504</v>
      </c>
      <c r="C77" s="163" t="s">
        <v>24</v>
      </c>
      <c r="D77" s="163" t="s">
        <v>130</v>
      </c>
      <c r="E77" s="169" t="s">
        <v>12</v>
      </c>
      <c r="F77" s="167">
        <f>F78</f>
        <v>10065370</v>
      </c>
      <c r="G77" s="167">
        <f t="shared" ref="G77:I77" si="57">G78</f>
        <v>9720370</v>
      </c>
      <c r="H77" s="167">
        <f t="shared" si="57"/>
        <v>11370000</v>
      </c>
      <c r="I77" s="182">
        <f t="shared" si="57"/>
        <v>11000000</v>
      </c>
      <c r="J77" s="216">
        <f t="shared" si="2"/>
        <v>-370000</v>
      </c>
      <c r="K77" s="216"/>
      <c r="L77" s="182">
        <f t="shared" ref="L77" si="58">L78</f>
        <v>11000000</v>
      </c>
    </row>
    <row r="78" spans="1:12" ht="36" outlineLevel="7">
      <c r="A78" s="164" t="s">
        <v>34</v>
      </c>
      <c r="B78" s="163" t="s">
        <v>504</v>
      </c>
      <c r="C78" s="163" t="s">
        <v>24</v>
      </c>
      <c r="D78" s="163" t="s">
        <v>130</v>
      </c>
      <c r="E78" s="169" t="s">
        <v>35</v>
      </c>
      <c r="F78" s="167">
        <v>10065370</v>
      </c>
      <c r="G78" s="167">
        <v>9720370</v>
      </c>
      <c r="H78" s="184">
        <v>11370000</v>
      </c>
      <c r="I78" s="195">
        <v>11000000</v>
      </c>
      <c r="J78" s="216">
        <f t="shared" si="2"/>
        <v>-370000</v>
      </c>
      <c r="K78" s="216"/>
      <c r="L78" s="195">
        <v>11000000</v>
      </c>
    </row>
    <row r="79" spans="1:12" ht="18.75" customHeight="1" outlineLevel="7">
      <c r="A79" s="164" t="s">
        <v>15</v>
      </c>
      <c r="B79" s="163" t="s">
        <v>504</v>
      </c>
      <c r="C79" s="163" t="s">
        <v>24</v>
      </c>
      <c r="D79" s="163" t="s">
        <v>130</v>
      </c>
      <c r="E79" s="169" t="s">
        <v>16</v>
      </c>
      <c r="F79" s="167">
        <f>F80</f>
        <v>9999670.0899999999</v>
      </c>
      <c r="G79" s="167">
        <f t="shared" ref="G79:I79" si="59">G80</f>
        <v>7657000</v>
      </c>
      <c r="H79" s="167">
        <f t="shared" si="59"/>
        <v>10000000</v>
      </c>
      <c r="I79" s="182">
        <f t="shared" si="59"/>
        <v>9000000</v>
      </c>
      <c r="J79" s="216">
        <f t="shared" ref="J79:J142" si="60">I79-H79</f>
        <v>-1000000</v>
      </c>
      <c r="K79" s="216"/>
      <c r="L79" s="182">
        <f t="shared" ref="L79" si="61">L80</f>
        <v>9000000</v>
      </c>
    </row>
    <row r="80" spans="1:12" ht="54" outlineLevel="7">
      <c r="A80" s="164" t="s">
        <v>17</v>
      </c>
      <c r="B80" s="163" t="s">
        <v>504</v>
      </c>
      <c r="C80" s="163" t="s">
        <v>24</v>
      </c>
      <c r="D80" s="163" t="s">
        <v>130</v>
      </c>
      <c r="E80" s="169" t="s">
        <v>18</v>
      </c>
      <c r="F80" s="167">
        <f>10141670.09-142000</f>
        <v>9999670.0899999999</v>
      </c>
      <c r="G80" s="167">
        <v>7657000</v>
      </c>
      <c r="H80" s="184">
        <v>10000000</v>
      </c>
      <c r="I80" s="195">
        <v>9000000</v>
      </c>
      <c r="J80" s="216">
        <f t="shared" si="60"/>
        <v>-1000000</v>
      </c>
      <c r="K80" s="216"/>
      <c r="L80" s="195">
        <v>9000000</v>
      </c>
    </row>
    <row r="81" spans="1:12" outlineLevel="7">
      <c r="A81" s="164" t="s">
        <v>19</v>
      </c>
      <c r="B81" s="163" t="s">
        <v>504</v>
      </c>
      <c r="C81" s="163" t="s">
        <v>24</v>
      </c>
      <c r="D81" s="163" t="s">
        <v>130</v>
      </c>
      <c r="E81" s="169" t="s">
        <v>20</v>
      </c>
      <c r="F81" s="167">
        <f>F82</f>
        <v>771270</v>
      </c>
      <c r="G81" s="167">
        <f t="shared" ref="G81:I81" si="62">G82</f>
        <v>771270</v>
      </c>
      <c r="H81" s="167">
        <f t="shared" si="62"/>
        <v>801450</v>
      </c>
      <c r="I81" s="182">
        <f t="shared" si="62"/>
        <v>801450</v>
      </c>
      <c r="J81" s="216">
        <f t="shared" si="60"/>
        <v>0</v>
      </c>
      <c r="K81" s="216"/>
      <c r="L81" s="182">
        <f t="shared" ref="L81" si="63">L82</f>
        <v>801450</v>
      </c>
    </row>
    <row r="82" spans="1:12" outlineLevel="7">
      <c r="A82" s="164" t="s">
        <v>21</v>
      </c>
      <c r="B82" s="163" t="s">
        <v>504</v>
      </c>
      <c r="C82" s="163" t="s">
        <v>24</v>
      </c>
      <c r="D82" s="163" t="s">
        <v>130</v>
      </c>
      <c r="E82" s="169" t="s">
        <v>22</v>
      </c>
      <c r="F82" s="167">
        <v>771270</v>
      </c>
      <c r="G82" s="167">
        <v>771270</v>
      </c>
      <c r="H82" s="218">
        <v>801450</v>
      </c>
      <c r="I82" s="204">
        <v>801450</v>
      </c>
      <c r="J82" s="216">
        <f t="shared" si="60"/>
        <v>0</v>
      </c>
      <c r="K82" s="216"/>
      <c r="L82" s="204">
        <v>801450</v>
      </c>
    </row>
    <row r="83" spans="1:12" outlineLevel="7">
      <c r="A83" s="164" t="s">
        <v>762</v>
      </c>
      <c r="B83" s="163" t="s">
        <v>504</v>
      </c>
      <c r="C83" s="163" t="s">
        <v>24</v>
      </c>
      <c r="D83" s="163" t="s">
        <v>703</v>
      </c>
      <c r="E83" s="163" t="s">
        <v>6</v>
      </c>
      <c r="F83" s="167">
        <f>F84+F87</f>
        <v>2943100</v>
      </c>
      <c r="G83" s="167">
        <f>G84+G87</f>
        <v>0</v>
      </c>
      <c r="H83" s="167">
        <f>H84+H87</f>
        <v>1451100</v>
      </c>
      <c r="I83" s="182">
        <f t="shared" ref="I83" si="64">I84+I87</f>
        <v>1451100</v>
      </c>
      <c r="J83" s="216">
        <f t="shared" si="60"/>
        <v>0</v>
      </c>
      <c r="K83" s="216"/>
      <c r="L83" s="182">
        <f t="shared" ref="L83" si="65">L84+L87</f>
        <v>1451100</v>
      </c>
    </row>
    <row r="84" spans="1:12" ht="54" outlineLevel="7">
      <c r="A84" s="33" t="s">
        <v>731</v>
      </c>
      <c r="B84" s="163" t="s">
        <v>504</v>
      </c>
      <c r="C84" s="163" t="s">
        <v>24</v>
      </c>
      <c r="D84" s="163" t="s">
        <v>702</v>
      </c>
      <c r="E84" s="163" t="s">
        <v>6</v>
      </c>
      <c r="F84" s="167">
        <f>F85</f>
        <v>1492000</v>
      </c>
      <c r="G84" s="167">
        <f t="shared" ref="G84:I84" si="66">G85</f>
        <v>0</v>
      </c>
      <c r="H84" s="167">
        <f t="shared" si="66"/>
        <v>0</v>
      </c>
      <c r="I84" s="167">
        <f t="shared" si="66"/>
        <v>0</v>
      </c>
      <c r="J84" s="216">
        <f t="shared" si="60"/>
        <v>0</v>
      </c>
      <c r="K84" s="216"/>
      <c r="L84" s="167">
        <f t="shared" ref="L84:L85" si="67">L85</f>
        <v>0</v>
      </c>
    </row>
    <row r="85" spans="1:12" ht="36" outlineLevel="7">
      <c r="A85" s="164" t="s">
        <v>15</v>
      </c>
      <c r="B85" s="163" t="s">
        <v>504</v>
      </c>
      <c r="C85" s="163" t="s">
        <v>24</v>
      </c>
      <c r="D85" s="163" t="s">
        <v>702</v>
      </c>
      <c r="E85" s="163" t="s">
        <v>16</v>
      </c>
      <c r="F85" s="167">
        <f>F86</f>
        <v>1492000</v>
      </c>
      <c r="G85" s="167">
        <f>G86</f>
        <v>0</v>
      </c>
      <c r="H85" s="167">
        <f t="shared" ref="H85:I85" si="68">H86</f>
        <v>0</v>
      </c>
      <c r="I85" s="182">
        <f t="shared" si="68"/>
        <v>0</v>
      </c>
      <c r="J85" s="216">
        <f t="shared" si="60"/>
        <v>0</v>
      </c>
      <c r="K85" s="216"/>
      <c r="L85" s="182">
        <f t="shared" si="67"/>
        <v>0</v>
      </c>
    </row>
    <row r="86" spans="1:12" ht="54" outlineLevel="7">
      <c r="A86" s="164" t="s">
        <v>17</v>
      </c>
      <c r="B86" s="163" t="s">
        <v>504</v>
      </c>
      <c r="C86" s="163" t="s">
        <v>24</v>
      </c>
      <c r="D86" s="163" t="s">
        <v>702</v>
      </c>
      <c r="E86" s="163" t="s">
        <v>18</v>
      </c>
      <c r="F86" s="167">
        <v>1492000</v>
      </c>
      <c r="G86" s="167">
        <v>0</v>
      </c>
      <c r="H86" s="218">
        <v>0</v>
      </c>
      <c r="I86" s="204">
        <v>0</v>
      </c>
      <c r="J86" s="216">
        <f t="shared" si="60"/>
        <v>0</v>
      </c>
      <c r="K86" s="216"/>
      <c r="L86" s="204">
        <v>0</v>
      </c>
    </row>
    <row r="87" spans="1:12" ht="54" outlineLevel="7">
      <c r="A87" s="164" t="s">
        <v>701</v>
      </c>
      <c r="B87" s="163" t="s">
        <v>504</v>
      </c>
      <c r="C87" s="163" t="s">
        <v>24</v>
      </c>
      <c r="D87" s="163" t="s">
        <v>700</v>
      </c>
      <c r="E87" s="163" t="s">
        <v>6</v>
      </c>
      <c r="F87" s="167">
        <f>F88</f>
        <v>1451100</v>
      </c>
      <c r="G87" s="167">
        <f>G88</f>
        <v>0</v>
      </c>
      <c r="H87" s="167">
        <f t="shared" ref="H87:I88" si="69">H88</f>
        <v>1451100</v>
      </c>
      <c r="I87" s="182">
        <f t="shared" si="69"/>
        <v>1451100</v>
      </c>
      <c r="J87" s="216">
        <f t="shared" si="60"/>
        <v>0</v>
      </c>
      <c r="K87" s="216"/>
      <c r="L87" s="182">
        <f t="shared" ref="L87:L88" si="70">L88</f>
        <v>1451100</v>
      </c>
    </row>
    <row r="88" spans="1:12" ht="36" outlineLevel="7">
      <c r="A88" s="164" t="s">
        <v>15</v>
      </c>
      <c r="B88" s="163" t="s">
        <v>504</v>
      </c>
      <c r="C88" s="163" t="s">
        <v>24</v>
      </c>
      <c r="D88" s="163" t="s">
        <v>700</v>
      </c>
      <c r="E88" s="163" t="s">
        <v>16</v>
      </c>
      <c r="F88" s="167">
        <f>F89</f>
        <v>1451100</v>
      </c>
      <c r="G88" s="167">
        <f>G89</f>
        <v>0</v>
      </c>
      <c r="H88" s="167">
        <f t="shared" si="69"/>
        <v>1451100</v>
      </c>
      <c r="I88" s="182">
        <f t="shared" si="69"/>
        <v>1451100</v>
      </c>
      <c r="J88" s="216">
        <f t="shared" si="60"/>
        <v>0</v>
      </c>
      <c r="K88" s="216"/>
      <c r="L88" s="182">
        <f t="shared" si="70"/>
        <v>1451100</v>
      </c>
    </row>
    <row r="89" spans="1:12" ht="54" outlineLevel="7">
      <c r="A89" s="164" t="s">
        <v>17</v>
      </c>
      <c r="B89" s="163" t="s">
        <v>504</v>
      </c>
      <c r="C89" s="163" t="s">
        <v>24</v>
      </c>
      <c r="D89" s="163" t="s">
        <v>700</v>
      </c>
      <c r="E89" s="163" t="s">
        <v>18</v>
      </c>
      <c r="F89" s="167">
        <v>1451100</v>
      </c>
      <c r="G89" s="167">
        <v>0</v>
      </c>
      <c r="H89" s="218">
        <v>1451100</v>
      </c>
      <c r="I89" s="204">
        <v>1451100</v>
      </c>
      <c r="J89" s="216">
        <f t="shared" si="60"/>
        <v>0</v>
      </c>
      <c r="K89" s="216"/>
      <c r="L89" s="204">
        <v>1451100</v>
      </c>
    </row>
    <row r="90" spans="1:12" ht="54" outlineLevel="7">
      <c r="A90" s="196" t="s">
        <v>426</v>
      </c>
      <c r="B90" s="197" t="s">
        <v>504</v>
      </c>
      <c r="C90" s="197" t="s">
        <v>24</v>
      </c>
      <c r="D90" s="197" t="s">
        <v>131</v>
      </c>
      <c r="E90" s="198" t="s">
        <v>6</v>
      </c>
      <c r="F90" s="171">
        <f>F91</f>
        <v>50000</v>
      </c>
      <c r="G90" s="171">
        <f t="shared" ref="G90:I93" si="71">G91</f>
        <v>50000</v>
      </c>
      <c r="H90" s="171">
        <f t="shared" si="71"/>
        <v>50000</v>
      </c>
      <c r="I90" s="199">
        <f t="shared" si="71"/>
        <v>50000</v>
      </c>
      <c r="J90" s="216">
        <f t="shared" si="60"/>
        <v>0</v>
      </c>
      <c r="K90" s="216"/>
      <c r="L90" s="199">
        <f t="shared" ref="L90:L93" si="72">L91</f>
        <v>50000</v>
      </c>
    </row>
    <row r="91" spans="1:12" outlineLevel="7">
      <c r="A91" s="164" t="s">
        <v>324</v>
      </c>
      <c r="B91" s="163" t="s">
        <v>504</v>
      </c>
      <c r="C91" s="163" t="s">
        <v>24</v>
      </c>
      <c r="D91" s="163" t="s">
        <v>233</v>
      </c>
      <c r="E91" s="169" t="s">
        <v>6</v>
      </c>
      <c r="F91" s="167">
        <f>F92</f>
        <v>50000</v>
      </c>
      <c r="G91" s="167">
        <f t="shared" si="71"/>
        <v>50000</v>
      </c>
      <c r="H91" s="167">
        <f t="shared" si="71"/>
        <v>50000</v>
      </c>
      <c r="I91" s="182">
        <f t="shared" si="71"/>
        <v>50000</v>
      </c>
      <c r="J91" s="216">
        <f t="shared" si="60"/>
        <v>0</v>
      </c>
      <c r="K91" s="216"/>
      <c r="L91" s="182">
        <f t="shared" si="72"/>
        <v>50000</v>
      </c>
    </row>
    <row r="92" spans="1:12" ht="36" outlineLevel="7">
      <c r="A92" s="164" t="s">
        <v>325</v>
      </c>
      <c r="B92" s="163" t="s">
        <v>504</v>
      </c>
      <c r="C92" s="163" t="s">
        <v>24</v>
      </c>
      <c r="D92" s="163" t="s">
        <v>326</v>
      </c>
      <c r="E92" s="169" t="s">
        <v>6</v>
      </c>
      <c r="F92" s="167">
        <f>F93</f>
        <v>50000</v>
      </c>
      <c r="G92" s="167">
        <f t="shared" si="71"/>
        <v>50000</v>
      </c>
      <c r="H92" s="167">
        <f t="shared" si="71"/>
        <v>50000</v>
      </c>
      <c r="I92" s="182">
        <f t="shared" si="71"/>
        <v>50000</v>
      </c>
      <c r="J92" s="216">
        <f t="shared" si="60"/>
        <v>0</v>
      </c>
      <c r="K92" s="216"/>
      <c r="L92" s="182">
        <f t="shared" si="72"/>
        <v>50000</v>
      </c>
    </row>
    <row r="93" spans="1:12" ht="21.15" customHeight="1" outlineLevel="7">
      <c r="A93" s="164" t="s">
        <v>15</v>
      </c>
      <c r="B93" s="163" t="s">
        <v>504</v>
      </c>
      <c r="C93" s="163" t="s">
        <v>24</v>
      </c>
      <c r="D93" s="163" t="s">
        <v>326</v>
      </c>
      <c r="E93" s="169" t="s">
        <v>16</v>
      </c>
      <c r="F93" s="167">
        <f>F94</f>
        <v>50000</v>
      </c>
      <c r="G93" s="167">
        <f t="shared" si="71"/>
        <v>50000</v>
      </c>
      <c r="H93" s="167">
        <f t="shared" si="71"/>
        <v>50000</v>
      </c>
      <c r="I93" s="182">
        <f t="shared" si="71"/>
        <v>50000</v>
      </c>
      <c r="J93" s="216">
        <f t="shared" si="60"/>
        <v>0</v>
      </c>
      <c r="K93" s="216"/>
      <c r="L93" s="182">
        <f t="shared" si="72"/>
        <v>50000</v>
      </c>
    </row>
    <row r="94" spans="1:12" ht="54" outlineLevel="7">
      <c r="A94" s="164" t="s">
        <v>17</v>
      </c>
      <c r="B94" s="163" t="s">
        <v>504</v>
      </c>
      <c r="C94" s="163" t="s">
        <v>24</v>
      </c>
      <c r="D94" s="163" t="s">
        <v>326</v>
      </c>
      <c r="E94" s="169" t="s">
        <v>18</v>
      </c>
      <c r="F94" s="167">
        <v>50000</v>
      </c>
      <c r="G94" s="167">
        <v>50000</v>
      </c>
      <c r="H94" s="184">
        <v>50000</v>
      </c>
      <c r="I94" s="195">
        <v>50000</v>
      </c>
      <c r="J94" s="216">
        <f t="shared" si="60"/>
        <v>0</v>
      </c>
      <c r="K94" s="216"/>
      <c r="L94" s="195">
        <v>50000</v>
      </c>
    </row>
    <row r="95" spans="1:12" ht="40.65" customHeight="1" outlineLevel="7">
      <c r="A95" s="196" t="s">
        <v>427</v>
      </c>
      <c r="B95" s="197" t="s">
        <v>504</v>
      </c>
      <c r="C95" s="197" t="s">
        <v>24</v>
      </c>
      <c r="D95" s="197" t="s">
        <v>317</v>
      </c>
      <c r="E95" s="198" t="s">
        <v>6</v>
      </c>
      <c r="F95" s="171">
        <f>F96</f>
        <v>1932970</v>
      </c>
      <c r="G95" s="171">
        <f>G96</f>
        <v>1032970</v>
      </c>
      <c r="H95" s="171">
        <f>H96</f>
        <v>1336498</v>
      </c>
      <c r="I95" s="199">
        <f>I96</f>
        <v>1336498</v>
      </c>
      <c r="J95" s="216">
        <f t="shared" si="60"/>
        <v>0</v>
      </c>
      <c r="K95" s="216"/>
      <c r="L95" s="199">
        <f>L96</f>
        <v>1336498</v>
      </c>
    </row>
    <row r="96" spans="1:12" ht="54" outlineLevel="7">
      <c r="A96" s="200" t="s">
        <v>327</v>
      </c>
      <c r="B96" s="163" t="s">
        <v>504</v>
      </c>
      <c r="C96" s="163" t="s">
        <v>24</v>
      </c>
      <c r="D96" s="163" t="s">
        <v>318</v>
      </c>
      <c r="E96" s="169" t="s">
        <v>6</v>
      </c>
      <c r="F96" s="167">
        <f>F97+F100</f>
        <v>1932970</v>
      </c>
      <c r="G96" s="167">
        <f>G97+G100</f>
        <v>1032970</v>
      </c>
      <c r="H96" s="167">
        <f>H97+H100</f>
        <v>1336498</v>
      </c>
      <c r="I96" s="182">
        <f>I97+I100</f>
        <v>1336498</v>
      </c>
      <c r="J96" s="216">
        <f t="shared" si="60"/>
        <v>0</v>
      </c>
      <c r="K96" s="216"/>
      <c r="L96" s="182">
        <f>L97+L100</f>
        <v>1336498</v>
      </c>
    </row>
    <row r="97" spans="1:12" ht="72" outlineLevel="7">
      <c r="A97" s="200" t="s">
        <v>328</v>
      </c>
      <c r="B97" s="163" t="s">
        <v>504</v>
      </c>
      <c r="C97" s="163" t="s">
        <v>24</v>
      </c>
      <c r="D97" s="163" t="s">
        <v>329</v>
      </c>
      <c r="E97" s="169" t="s">
        <v>6</v>
      </c>
      <c r="F97" s="167">
        <f>F98</f>
        <v>1890470</v>
      </c>
      <c r="G97" s="167">
        <f t="shared" ref="G97:I98" si="73">G98</f>
        <v>990470</v>
      </c>
      <c r="H97" s="167">
        <f t="shared" si="73"/>
        <v>1292340.5</v>
      </c>
      <c r="I97" s="182">
        <f t="shared" si="73"/>
        <v>1292340.5</v>
      </c>
      <c r="J97" s="216">
        <f t="shared" si="60"/>
        <v>0</v>
      </c>
      <c r="K97" s="216"/>
      <c r="L97" s="182">
        <f t="shared" ref="L97:L98" si="74">L98</f>
        <v>1292340.5</v>
      </c>
    </row>
    <row r="98" spans="1:12" ht="21.15" customHeight="1" outlineLevel="7">
      <c r="A98" s="164" t="s">
        <v>15</v>
      </c>
      <c r="B98" s="163" t="s">
        <v>504</v>
      </c>
      <c r="C98" s="163" t="s">
        <v>24</v>
      </c>
      <c r="D98" s="163" t="s">
        <v>329</v>
      </c>
      <c r="E98" s="169" t="s">
        <v>16</v>
      </c>
      <c r="F98" s="167">
        <f>F99</f>
        <v>1890470</v>
      </c>
      <c r="G98" s="167">
        <f t="shared" si="73"/>
        <v>990470</v>
      </c>
      <c r="H98" s="167">
        <f t="shared" si="73"/>
        <v>1292340.5</v>
      </c>
      <c r="I98" s="182">
        <f t="shared" si="73"/>
        <v>1292340.5</v>
      </c>
      <c r="J98" s="216">
        <f t="shared" si="60"/>
        <v>0</v>
      </c>
      <c r="K98" s="216"/>
      <c r="L98" s="182">
        <f t="shared" si="74"/>
        <v>1292340.5</v>
      </c>
    </row>
    <row r="99" spans="1:12" ht="54" outlineLevel="7">
      <c r="A99" s="164" t="s">
        <v>17</v>
      </c>
      <c r="B99" s="163" t="s">
        <v>504</v>
      </c>
      <c r="C99" s="163" t="s">
        <v>24</v>
      </c>
      <c r="D99" s="163" t="s">
        <v>329</v>
      </c>
      <c r="E99" s="169" t="s">
        <v>18</v>
      </c>
      <c r="F99" s="167">
        <v>1890470</v>
      </c>
      <c r="G99" s="167">
        <f>240000+750470</f>
        <v>990470</v>
      </c>
      <c r="H99" s="184">
        <v>1292340.5</v>
      </c>
      <c r="I99" s="195">
        <v>1292340.5</v>
      </c>
      <c r="J99" s="216">
        <f t="shared" si="60"/>
        <v>0</v>
      </c>
      <c r="K99" s="216"/>
      <c r="L99" s="195">
        <v>1292340.5</v>
      </c>
    </row>
    <row r="100" spans="1:12" ht="36" outlineLevel="7">
      <c r="A100" s="200" t="s">
        <v>330</v>
      </c>
      <c r="B100" s="163" t="s">
        <v>504</v>
      </c>
      <c r="C100" s="163" t="s">
        <v>24</v>
      </c>
      <c r="D100" s="163" t="s">
        <v>319</v>
      </c>
      <c r="E100" s="169" t="s">
        <v>6</v>
      </c>
      <c r="F100" s="167">
        <f>F101</f>
        <v>42500</v>
      </c>
      <c r="G100" s="167">
        <f t="shared" ref="G100:I101" si="75">G101</f>
        <v>42500</v>
      </c>
      <c r="H100" s="167">
        <f t="shared" si="75"/>
        <v>44157.5</v>
      </c>
      <c r="I100" s="182">
        <f t="shared" si="75"/>
        <v>44157.5</v>
      </c>
      <c r="J100" s="216">
        <f t="shared" si="60"/>
        <v>0</v>
      </c>
      <c r="K100" s="216"/>
      <c r="L100" s="182">
        <f t="shared" ref="L100:L101" si="76">L101</f>
        <v>44157.5</v>
      </c>
    </row>
    <row r="101" spans="1:12" ht="21.15" customHeight="1" outlineLevel="7">
      <c r="A101" s="164" t="s">
        <v>15</v>
      </c>
      <c r="B101" s="163" t="s">
        <v>504</v>
      </c>
      <c r="C101" s="163" t="s">
        <v>24</v>
      </c>
      <c r="D101" s="163" t="s">
        <v>319</v>
      </c>
      <c r="E101" s="169" t="s">
        <v>16</v>
      </c>
      <c r="F101" s="167">
        <f>F102</f>
        <v>42500</v>
      </c>
      <c r="G101" s="167">
        <f t="shared" si="75"/>
        <v>42500</v>
      </c>
      <c r="H101" s="167">
        <f t="shared" si="75"/>
        <v>44157.5</v>
      </c>
      <c r="I101" s="182">
        <f t="shared" si="75"/>
        <v>44157.5</v>
      </c>
      <c r="J101" s="216">
        <f t="shared" si="60"/>
        <v>0</v>
      </c>
      <c r="K101" s="216"/>
      <c r="L101" s="182">
        <f t="shared" si="76"/>
        <v>44157.5</v>
      </c>
    </row>
    <row r="102" spans="1:12" ht="54" outlineLevel="7">
      <c r="A102" s="164" t="s">
        <v>17</v>
      </c>
      <c r="B102" s="163" t="s">
        <v>504</v>
      </c>
      <c r="C102" s="163" t="s">
        <v>24</v>
      </c>
      <c r="D102" s="163" t="s">
        <v>319</v>
      </c>
      <c r="E102" s="169" t="s">
        <v>18</v>
      </c>
      <c r="F102" s="167">
        <v>42500</v>
      </c>
      <c r="G102" s="167">
        <v>42500</v>
      </c>
      <c r="H102" s="167">
        <v>44157.5</v>
      </c>
      <c r="I102" s="182">
        <v>44157.5</v>
      </c>
      <c r="J102" s="216">
        <f t="shared" si="60"/>
        <v>0</v>
      </c>
      <c r="K102" s="216"/>
      <c r="L102" s="182">
        <v>44157.5</v>
      </c>
    </row>
    <row r="103" spans="1:12" ht="72" outlineLevel="7">
      <c r="A103" s="196" t="s">
        <v>380</v>
      </c>
      <c r="B103" s="197" t="s">
        <v>504</v>
      </c>
      <c r="C103" s="197" t="s">
        <v>24</v>
      </c>
      <c r="D103" s="197" t="s">
        <v>331</v>
      </c>
      <c r="E103" s="198" t="s">
        <v>6</v>
      </c>
      <c r="F103" s="171">
        <f>F104</f>
        <v>5643392.1600000001</v>
      </c>
      <c r="G103" s="171">
        <f t="shared" ref="G103:I104" si="77">G104</f>
        <v>1140000</v>
      </c>
      <c r="H103" s="171">
        <f t="shared" si="77"/>
        <v>1600000</v>
      </c>
      <c r="I103" s="199">
        <f t="shared" si="77"/>
        <v>1600000</v>
      </c>
      <c r="J103" s="216">
        <f t="shared" si="60"/>
        <v>0</v>
      </c>
      <c r="K103" s="216"/>
      <c r="L103" s="199">
        <f t="shared" ref="L103:L104" si="78">L104</f>
        <v>1600000</v>
      </c>
    </row>
    <row r="104" spans="1:12" ht="54" outlineLevel="7">
      <c r="A104" s="164" t="s">
        <v>215</v>
      </c>
      <c r="B104" s="163" t="s">
        <v>504</v>
      </c>
      <c r="C104" s="163" t="s">
        <v>24</v>
      </c>
      <c r="D104" s="163" t="s">
        <v>332</v>
      </c>
      <c r="E104" s="169" t="s">
        <v>6</v>
      </c>
      <c r="F104" s="167">
        <f>F105</f>
        <v>5643392.1600000001</v>
      </c>
      <c r="G104" s="167">
        <f t="shared" si="77"/>
        <v>1140000</v>
      </c>
      <c r="H104" s="167">
        <f t="shared" si="77"/>
        <v>1600000</v>
      </c>
      <c r="I104" s="182">
        <f t="shared" si="77"/>
        <v>1600000</v>
      </c>
      <c r="J104" s="216">
        <f t="shared" si="60"/>
        <v>0</v>
      </c>
      <c r="K104" s="216"/>
      <c r="L104" s="182">
        <f t="shared" si="78"/>
        <v>1600000</v>
      </c>
    </row>
    <row r="105" spans="1:12" ht="90" outlineLevel="7">
      <c r="A105" s="164" t="s">
        <v>32</v>
      </c>
      <c r="B105" s="163" t="s">
        <v>504</v>
      </c>
      <c r="C105" s="163" t="s">
        <v>24</v>
      </c>
      <c r="D105" s="163" t="s">
        <v>333</v>
      </c>
      <c r="E105" s="169" t="s">
        <v>6</v>
      </c>
      <c r="F105" s="167">
        <f>F106+F108</f>
        <v>5643392.1600000001</v>
      </c>
      <c r="G105" s="167">
        <f t="shared" ref="G105:H105" si="79">G106+G108</f>
        <v>1140000</v>
      </c>
      <c r="H105" s="167">
        <f t="shared" si="79"/>
        <v>1600000</v>
      </c>
      <c r="I105" s="182">
        <f t="shared" ref="I105" si="80">I106+I108</f>
        <v>1600000</v>
      </c>
      <c r="J105" s="216">
        <f t="shared" si="60"/>
        <v>0</v>
      </c>
      <c r="K105" s="216"/>
      <c r="L105" s="182">
        <f t="shared" ref="L105" si="81">L106+L108</f>
        <v>1600000</v>
      </c>
    </row>
    <row r="106" spans="1:12" ht="21.15" customHeight="1" outlineLevel="7">
      <c r="A106" s="164" t="s">
        <v>15</v>
      </c>
      <c r="B106" s="163" t="s">
        <v>504</v>
      </c>
      <c r="C106" s="163" t="s">
        <v>24</v>
      </c>
      <c r="D106" s="163" t="s">
        <v>333</v>
      </c>
      <c r="E106" s="169" t="s">
        <v>16</v>
      </c>
      <c r="F106" s="167">
        <f>F107</f>
        <v>5503392.1600000001</v>
      </c>
      <c r="G106" s="167">
        <f t="shared" ref="G106:I106" si="82">G107</f>
        <v>1000000</v>
      </c>
      <c r="H106" s="167">
        <f t="shared" si="82"/>
        <v>1460000</v>
      </c>
      <c r="I106" s="182">
        <f t="shared" si="82"/>
        <v>1460000</v>
      </c>
      <c r="J106" s="216">
        <f t="shared" si="60"/>
        <v>0</v>
      </c>
      <c r="K106" s="216"/>
      <c r="L106" s="182">
        <f t="shared" ref="L106" si="83">L107</f>
        <v>1460000</v>
      </c>
    </row>
    <row r="107" spans="1:12" ht="54" outlineLevel="7">
      <c r="A107" s="164" t="s">
        <v>17</v>
      </c>
      <c r="B107" s="163" t="s">
        <v>504</v>
      </c>
      <c r="C107" s="163" t="s">
        <v>24</v>
      </c>
      <c r="D107" s="163" t="s">
        <v>333</v>
      </c>
      <c r="E107" s="169" t="s">
        <v>18</v>
      </c>
      <c r="F107" s="167">
        <v>5503392.1600000001</v>
      </c>
      <c r="G107" s="167">
        <v>1000000</v>
      </c>
      <c r="H107" s="167">
        <f>1460000</f>
        <v>1460000</v>
      </c>
      <c r="I107" s="182">
        <f>1460000</f>
        <v>1460000</v>
      </c>
      <c r="J107" s="216">
        <f t="shared" si="60"/>
        <v>0</v>
      </c>
      <c r="K107" s="216"/>
      <c r="L107" s="182">
        <f>1460000</f>
        <v>1460000</v>
      </c>
    </row>
    <row r="108" spans="1:12" outlineLevel="7">
      <c r="A108" s="164" t="s">
        <v>19</v>
      </c>
      <c r="B108" s="163" t="s">
        <v>504</v>
      </c>
      <c r="C108" s="163" t="s">
        <v>24</v>
      </c>
      <c r="D108" s="163" t="s">
        <v>333</v>
      </c>
      <c r="E108" s="169" t="s">
        <v>20</v>
      </c>
      <c r="F108" s="167">
        <f>F109</f>
        <v>140000</v>
      </c>
      <c r="G108" s="167">
        <f>G109</f>
        <v>140000</v>
      </c>
      <c r="H108" s="167">
        <f>H109</f>
        <v>140000</v>
      </c>
      <c r="I108" s="182">
        <f>I109</f>
        <v>140000</v>
      </c>
      <c r="J108" s="216">
        <f t="shared" si="60"/>
        <v>0</v>
      </c>
      <c r="K108" s="216"/>
      <c r="L108" s="182">
        <f>L109</f>
        <v>140000</v>
      </c>
    </row>
    <row r="109" spans="1:12" outlineLevel="7">
      <c r="A109" s="164" t="s">
        <v>21</v>
      </c>
      <c r="B109" s="163" t="s">
        <v>504</v>
      </c>
      <c r="C109" s="163" t="s">
        <v>24</v>
      </c>
      <c r="D109" s="163" t="s">
        <v>333</v>
      </c>
      <c r="E109" s="169" t="s">
        <v>22</v>
      </c>
      <c r="F109" s="167">
        <v>140000</v>
      </c>
      <c r="G109" s="167">
        <v>140000</v>
      </c>
      <c r="H109" s="184">
        <v>140000</v>
      </c>
      <c r="I109" s="195">
        <v>140000</v>
      </c>
      <c r="J109" s="216">
        <f t="shared" si="60"/>
        <v>0</v>
      </c>
      <c r="K109" s="216"/>
      <c r="L109" s="195">
        <v>140000</v>
      </c>
    </row>
    <row r="110" spans="1:12" ht="36" outlineLevel="7">
      <c r="A110" s="164" t="s">
        <v>132</v>
      </c>
      <c r="B110" s="163" t="s">
        <v>504</v>
      </c>
      <c r="C110" s="163" t="s">
        <v>24</v>
      </c>
      <c r="D110" s="163" t="s">
        <v>127</v>
      </c>
      <c r="E110" s="169" t="s">
        <v>6</v>
      </c>
      <c r="F110" s="167">
        <f>F128+F120+F111+F125+F116</f>
        <v>43633453.060000002</v>
      </c>
      <c r="G110" s="167">
        <f t="shared" ref="G110:H110" si="84">G128+G120+G111+G125+G116</f>
        <v>42766612.200000003</v>
      </c>
      <c r="H110" s="167">
        <f t="shared" si="84"/>
        <v>43014343.420000002</v>
      </c>
      <c r="I110" s="167">
        <f>I128+I120+I111+I125+I116</f>
        <v>43014343.420000002</v>
      </c>
      <c r="J110" s="216">
        <f t="shared" si="60"/>
        <v>0</v>
      </c>
      <c r="K110" s="216"/>
      <c r="L110" s="167">
        <f>L128+L120+L111+L125+L116</f>
        <v>43014343.420000002</v>
      </c>
    </row>
    <row r="111" spans="1:12" ht="72" outlineLevel="7">
      <c r="A111" s="164" t="s">
        <v>498</v>
      </c>
      <c r="B111" s="163" t="s">
        <v>504</v>
      </c>
      <c r="C111" s="163" t="s">
        <v>24</v>
      </c>
      <c r="D111" s="163" t="s">
        <v>499</v>
      </c>
      <c r="E111" s="169" t="s">
        <v>6</v>
      </c>
      <c r="F111" s="167">
        <f>F112+F114</f>
        <v>34085706.369999997</v>
      </c>
      <c r="G111" s="167">
        <f>G112+G114</f>
        <v>35762809</v>
      </c>
      <c r="H111" s="167">
        <f>H112+H114</f>
        <v>35005140.490000002</v>
      </c>
      <c r="I111" s="182">
        <f>I112+I114</f>
        <v>35005140.490000002</v>
      </c>
      <c r="J111" s="216">
        <f t="shared" si="60"/>
        <v>0</v>
      </c>
      <c r="K111" s="216"/>
      <c r="L111" s="182">
        <f>L112+L114</f>
        <v>35005140.490000002</v>
      </c>
    </row>
    <row r="112" spans="1:12" ht="59.25" customHeight="1" outlineLevel="1">
      <c r="A112" s="164" t="s">
        <v>11</v>
      </c>
      <c r="B112" s="163" t="s">
        <v>504</v>
      </c>
      <c r="C112" s="163" t="s">
        <v>24</v>
      </c>
      <c r="D112" s="163" t="s">
        <v>499</v>
      </c>
      <c r="E112" s="169" t="s">
        <v>12</v>
      </c>
      <c r="F112" s="167">
        <f>F113</f>
        <v>34065706.369999997</v>
      </c>
      <c r="G112" s="167">
        <f t="shared" ref="G112:I112" si="85">G113</f>
        <v>34882443</v>
      </c>
      <c r="H112" s="167">
        <f t="shared" si="85"/>
        <v>34985140.490000002</v>
      </c>
      <c r="I112" s="182">
        <f t="shared" si="85"/>
        <v>34985140.490000002</v>
      </c>
      <c r="J112" s="216">
        <f t="shared" si="60"/>
        <v>0</v>
      </c>
      <c r="K112" s="216"/>
      <c r="L112" s="182">
        <f t="shared" ref="L112" si="86">L113</f>
        <v>34985140.490000002</v>
      </c>
    </row>
    <row r="113" spans="1:12" ht="18.75" customHeight="1" outlineLevel="2">
      <c r="A113" s="164" t="s">
        <v>13</v>
      </c>
      <c r="B113" s="163" t="s">
        <v>504</v>
      </c>
      <c r="C113" s="163" t="s">
        <v>24</v>
      </c>
      <c r="D113" s="163" t="s">
        <v>499</v>
      </c>
      <c r="E113" s="169" t="s">
        <v>14</v>
      </c>
      <c r="F113" s="167">
        <v>34065706.369999997</v>
      </c>
      <c r="G113" s="167">
        <v>34882443</v>
      </c>
      <c r="H113" s="167">
        <v>34985140.490000002</v>
      </c>
      <c r="I113" s="182">
        <f>34805469.49+247671-68000</f>
        <v>34985140.490000002</v>
      </c>
      <c r="J113" s="216">
        <f t="shared" si="60"/>
        <v>0</v>
      </c>
      <c r="K113" s="216"/>
      <c r="L113" s="182">
        <f>34805469.49+247671-68000</f>
        <v>34985140.490000002</v>
      </c>
    </row>
    <row r="114" spans="1:12" ht="20.25" customHeight="1" outlineLevel="4">
      <c r="A114" s="164" t="s">
        <v>15</v>
      </c>
      <c r="B114" s="163" t="s">
        <v>504</v>
      </c>
      <c r="C114" s="163" t="s">
        <v>24</v>
      </c>
      <c r="D114" s="163" t="s">
        <v>499</v>
      </c>
      <c r="E114" s="169" t="s">
        <v>16</v>
      </c>
      <c r="F114" s="184">
        <f>F115</f>
        <v>20000</v>
      </c>
      <c r="G114" s="184">
        <f t="shared" ref="G114:I114" si="87">G115</f>
        <v>880366</v>
      </c>
      <c r="H114" s="184">
        <f t="shared" si="87"/>
        <v>20000</v>
      </c>
      <c r="I114" s="195">
        <f t="shared" si="87"/>
        <v>20000</v>
      </c>
      <c r="J114" s="216">
        <f t="shared" si="60"/>
        <v>0</v>
      </c>
      <c r="K114" s="216"/>
      <c r="L114" s="195">
        <f t="shared" ref="L114" si="88">L115</f>
        <v>20000</v>
      </c>
    </row>
    <row r="115" spans="1:12" ht="54" outlineLevel="5">
      <c r="A115" s="164" t="s">
        <v>17</v>
      </c>
      <c r="B115" s="163" t="s">
        <v>504</v>
      </c>
      <c r="C115" s="163" t="s">
        <v>24</v>
      </c>
      <c r="D115" s="163" t="s">
        <v>499</v>
      </c>
      <c r="E115" s="169" t="s">
        <v>18</v>
      </c>
      <c r="F115" s="167">
        <f>20000</f>
        <v>20000</v>
      </c>
      <c r="G115" s="167">
        <v>880366</v>
      </c>
      <c r="H115" s="167">
        <v>20000</v>
      </c>
      <c r="I115" s="182">
        <v>20000</v>
      </c>
      <c r="J115" s="216">
        <f t="shared" si="60"/>
        <v>0</v>
      </c>
      <c r="K115" s="216"/>
      <c r="L115" s="182">
        <v>20000</v>
      </c>
    </row>
    <row r="116" spans="1:12" ht="54" outlineLevel="5">
      <c r="A116" s="164" t="s">
        <v>699</v>
      </c>
      <c r="B116" s="163" t="s">
        <v>504</v>
      </c>
      <c r="C116" s="163" t="s">
        <v>24</v>
      </c>
      <c r="D116" s="163" t="s">
        <v>697</v>
      </c>
      <c r="E116" s="163" t="s">
        <v>6</v>
      </c>
      <c r="F116" s="167">
        <f>F117</f>
        <v>454002.59</v>
      </c>
      <c r="G116" s="167">
        <f t="shared" ref="G116:I116" si="89">G117</f>
        <v>0</v>
      </c>
      <c r="H116" s="167">
        <f t="shared" si="89"/>
        <v>460000</v>
      </c>
      <c r="I116" s="167">
        <f t="shared" si="89"/>
        <v>460000</v>
      </c>
      <c r="J116" s="216">
        <f t="shared" si="60"/>
        <v>0</v>
      </c>
      <c r="K116" s="216"/>
      <c r="L116" s="167">
        <f t="shared" ref="L116" si="90">L117</f>
        <v>460000</v>
      </c>
    </row>
    <row r="117" spans="1:12" outlineLevel="5">
      <c r="A117" s="164" t="s">
        <v>19</v>
      </c>
      <c r="B117" s="163" t="s">
        <v>504</v>
      </c>
      <c r="C117" s="163" t="s">
        <v>24</v>
      </c>
      <c r="D117" s="163" t="s">
        <v>697</v>
      </c>
      <c r="E117" s="163" t="s">
        <v>20</v>
      </c>
      <c r="F117" s="167">
        <f>F119+F118</f>
        <v>454002.59</v>
      </c>
      <c r="G117" s="167">
        <f>G118+G119</f>
        <v>0</v>
      </c>
      <c r="H117" s="167">
        <f t="shared" ref="H117:I117" si="91">H118+H119</f>
        <v>460000</v>
      </c>
      <c r="I117" s="182">
        <f t="shared" si="91"/>
        <v>460000</v>
      </c>
      <c r="J117" s="216">
        <f t="shared" si="60"/>
        <v>0</v>
      </c>
      <c r="K117" s="216"/>
      <c r="L117" s="182">
        <f t="shared" ref="L117" si="92">L118+L119</f>
        <v>460000</v>
      </c>
    </row>
    <row r="118" spans="1:12" ht="36" outlineLevel="5">
      <c r="A118" s="164" t="s">
        <v>729</v>
      </c>
      <c r="B118" s="163" t="s">
        <v>504</v>
      </c>
      <c r="C118" s="163" t="s">
        <v>24</v>
      </c>
      <c r="D118" s="163" t="s">
        <v>697</v>
      </c>
      <c r="E118" s="205" t="s">
        <v>730</v>
      </c>
      <c r="F118" s="167">
        <v>61000</v>
      </c>
      <c r="G118" s="167">
        <v>0</v>
      </c>
      <c r="H118" s="167">
        <v>0</v>
      </c>
      <c r="I118" s="182">
        <v>0</v>
      </c>
      <c r="J118" s="216">
        <f t="shared" si="60"/>
        <v>0</v>
      </c>
      <c r="K118" s="216"/>
      <c r="L118" s="182">
        <v>0</v>
      </c>
    </row>
    <row r="119" spans="1:12" ht="27" customHeight="1" outlineLevel="5">
      <c r="A119" s="164" t="s">
        <v>698</v>
      </c>
      <c r="B119" s="163" t="s">
        <v>504</v>
      </c>
      <c r="C119" s="163" t="s">
        <v>24</v>
      </c>
      <c r="D119" s="163" t="s">
        <v>697</v>
      </c>
      <c r="E119" s="163" t="s">
        <v>22</v>
      </c>
      <c r="F119" s="167">
        <v>393002.59</v>
      </c>
      <c r="G119" s="167">
        <v>0</v>
      </c>
      <c r="H119" s="167">
        <f>150000+310000</f>
        <v>460000</v>
      </c>
      <c r="I119" s="182">
        <f>150000+310000</f>
        <v>460000</v>
      </c>
      <c r="J119" s="216">
        <f t="shared" si="60"/>
        <v>0</v>
      </c>
      <c r="K119" s="216"/>
      <c r="L119" s="182">
        <f>150000+310000</f>
        <v>460000</v>
      </c>
    </row>
    <row r="120" spans="1:12" ht="36" outlineLevel="5">
      <c r="A120" s="33" t="s">
        <v>611</v>
      </c>
      <c r="B120" s="163" t="s">
        <v>504</v>
      </c>
      <c r="C120" s="163" t="s">
        <v>24</v>
      </c>
      <c r="D120" s="163" t="s">
        <v>612</v>
      </c>
      <c r="E120" s="163" t="s">
        <v>6</v>
      </c>
      <c r="F120" s="167">
        <f>F121+F123</f>
        <v>1519678.9</v>
      </c>
      <c r="G120" s="167">
        <f>G121</f>
        <v>0</v>
      </c>
      <c r="H120" s="167">
        <f t="shared" ref="H120:I121" si="93">H121</f>
        <v>0</v>
      </c>
      <c r="I120" s="182">
        <f t="shared" si="93"/>
        <v>0</v>
      </c>
      <c r="J120" s="216">
        <f t="shared" si="60"/>
        <v>0</v>
      </c>
      <c r="K120" s="216"/>
      <c r="L120" s="182">
        <f t="shared" ref="L120:L121" si="94">L121</f>
        <v>0</v>
      </c>
    </row>
    <row r="121" spans="1:12" ht="36" outlineLevel="5">
      <c r="A121" s="164" t="s">
        <v>15</v>
      </c>
      <c r="B121" s="163" t="s">
        <v>504</v>
      </c>
      <c r="C121" s="163" t="s">
        <v>24</v>
      </c>
      <c r="D121" s="163" t="s">
        <v>612</v>
      </c>
      <c r="E121" s="163" t="s">
        <v>16</v>
      </c>
      <c r="F121" s="167">
        <f>F122</f>
        <v>153000</v>
      </c>
      <c r="G121" s="167">
        <f>G122</f>
        <v>0</v>
      </c>
      <c r="H121" s="167">
        <f t="shared" si="93"/>
        <v>0</v>
      </c>
      <c r="I121" s="182">
        <f t="shared" si="93"/>
        <v>0</v>
      </c>
      <c r="J121" s="216">
        <f t="shared" si="60"/>
        <v>0</v>
      </c>
      <c r="K121" s="216"/>
      <c r="L121" s="182">
        <f t="shared" si="94"/>
        <v>0</v>
      </c>
    </row>
    <row r="122" spans="1:12" ht="54" outlineLevel="5">
      <c r="A122" s="164" t="s">
        <v>17</v>
      </c>
      <c r="B122" s="163" t="s">
        <v>504</v>
      </c>
      <c r="C122" s="163" t="s">
        <v>24</v>
      </c>
      <c r="D122" s="163" t="s">
        <v>612</v>
      </c>
      <c r="E122" s="163" t="s">
        <v>18</v>
      </c>
      <c r="F122" s="167">
        <v>153000</v>
      </c>
      <c r="G122" s="167">
        <v>0</v>
      </c>
      <c r="H122" s="167">
        <v>0</v>
      </c>
      <c r="I122" s="182">
        <v>0</v>
      </c>
      <c r="J122" s="216">
        <f t="shared" si="60"/>
        <v>0</v>
      </c>
      <c r="K122" s="216"/>
      <c r="L122" s="182">
        <v>0</v>
      </c>
    </row>
    <row r="123" spans="1:12" ht="36" outlineLevel="5">
      <c r="A123" s="164" t="s">
        <v>90</v>
      </c>
      <c r="B123" s="163" t="s">
        <v>504</v>
      </c>
      <c r="C123" s="163" t="s">
        <v>24</v>
      </c>
      <c r="D123" s="163" t="s">
        <v>612</v>
      </c>
      <c r="E123" s="163" t="s">
        <v>91</v>
      </c>
      <c r="F123" s="167">
        <f>F124</f>
        <v>1366678.9</v>
      </c>
      <c r="G123" s="167">
        <f>G124</f>
        <v>0</v>
      </c>
      <c r="H123" s="167">
        <f t="shared" ref="H123:I123" si="95">H124</f>
        <v>0</v>
      </c>
      <c r="I123" s="182">
        <f t="shared" si="95"/>
        <v>0</v>
      </c>
      <c r="J123" s="216">
        <f t="shared" si="60"/>
        <v>0</v>
      </c>
      <c r="K123" s="216"/>
      <c r="L123" s="182">
        <f t="shared" ref="L123" si="96">L124</f>
        <v>0</v>
      </c>
    </row>
    <row r="124" spans="1:12" ht="54" outlineLevel="5">
      <c r="A124" s="164" t="s">
        <v>97</v>
      </c>
      <c r="B124" s="163" t="s">
        <v>504</v>
      </c>
      <c r="C124" s="163" t="s">
        <v>24</v>
      </c>
      <c r="D124" s="163" t="s">
        <v>612</v>
      </c>
      <c r="E124" s="163" t="s">
        <v>98</v>
      </c>
      <c r="F124" s="167">
        <v>1366678.9</v>
      </c>
      <c r="G124" s="167">
        <v>0</v>
      </c>
      <c r="H124" s="167">
        <v>0</v>
      </c>
      <c r="I124" s="182">
        <v>0</v>
      </c>
      <c r="J124" s="216">
        <f t="shared" si="60"/>
        <v>0</v>
      </c>
      <c r="K124" s="216"/>
      <c r="L124" s="182">
        <v>0</v>
      </c>
    </row>
    <row r="125" spans="1:12" ht="54" outlineLevel="6">
      <c r="A125" s="164" t="s">
        <v>507</v>
      </c>
      <c r="B125" s="163" t="s">
        <v>504</v>
      </c>
      <c r="C125" s="163" t="s">
        <v>24</v>
      </c>
      <c r="D125" s="163" t="s">
        <v>506</v>
      </c>
      <c r="E125" s="169" t="s">
        <v>6</v>
      </c>
      <c r="F125" s="184">
        <f>F126</f>
        <v>200000</v>
      </c>
      <c r="G125" s="184">
        <f t="shared" ref="G125:I126" si="97">G126</f>
        <v>200000</v>
      </c>
      <c r="H125" s="184">
        <f t="shared" si="97"/>
        <v>200000</v>
      </c>
      <c r="I125" s="195">
        <f t="shared" si="97"/>
        <v>200000</v>
      </c>
      <c r="J125" s="216">
        <f t="shared" si="60"/>
        <v>0</v>
      </c>
      <c r="K125" s="216"/>
      <c r="L125" s="195">
        <f t="shared" ref="L125:L126" si="98">L126</f>
        <v>200000</v>
      </c>
    </row>
    <row r="126" spans="1:12" ht="18" customHeight="1" outlineLevel="7">
      <c r="A126" s="164" t="s">
        <v>15</v>
      </c>
      <c r="B126" s="163" t="s">
        <v>504</v>
      </c>
      <c r="C126" s="163" t="s">
        <v>24</v>
      </c>
      <c r="D126" s="163" t="s">
        <v>506</v>
      </c>
      <c r="E126" s="169" t="s">
        <v>16</v>
      </c>
      <c r="F126" s="184">
        <f>F127</f>
        <v>200000</v>
      </c>
      <c r="G126" s="184">
        <f t="shared" si="97"/>
        <v>200000</v>
      </c>
      <c r="H126" s="184">
        <f t="shared" si="97"/>
        <v>200000</v>
      </c>
      <c r="I126" s="184">
        <f t="shared" si="97"/>
        <v>200000</v>
      </c>
      <c r="J126" s="216">
        <f t="shared" si="60"/>
        <v>0</v>
      </c>
      <c r="K126" s="216"/>
      <c r="L126" s="184">
        <f t="shared" si="98"/>
        <v>200000</v>
      </c>
    </row>
    <row r="127" spans="1:12" ht="54" outlineLevel="7">
      <c r="A127" s="164" t="s">
        <v>17</v>
      </c>
      <c r="B127" s="163" t="s">
        <v>504</v>
      </c>
      <c r="C127" s="163" t="s">
        <v>24</v>
      </c>
      <c r="D127" s="163" t="s">
        <v>506</v>
      </c>
      <c r="E127" s="169" t="s">
        <v>18</v>
      </c>
      <c r="F127" s="167">
        <v>200000</v>
      </c>
      <c r="G127" s="167">
        <v>200000</v>
      </c>
      <c r="H127" s="167">
        <v>200000</v>
      </c>
      <c r="I127" s="182">
        <v>200000</v>
      </c>
      <c r="J127" s="216">
        <f t="shared" si="60"/>
        <v>0</v>
      </c>
      <c r="K127" s="216"/>
      <c r="L127" s="182">
        <v>200000</v>
      </c>
    </row>
    <row r="128" spans="1:12" ht="36" outlineLevel="7">
      <c r="A128" s="164" t="s">
        <v>277</v>
      </c>
      <c r="B128" s="163" t="s">
        <v>504</v>
      </c>
      <c r="C128" s="163" t="s">
        <v>24</v>
      </c>
      <c r="D128" s="163" t="s">
        <v>276</v>
      </c>
      <c r="E128" s="169" t="s">
        <v>6</v>
      </c>
      <c r="F128" s="167">
        <f>F152+F129+F137+F142+F147+F134+307152</f>
        <v>7374065.2000000002</v>
      </c>
      <c r="G128" s="167">
        <f>G152+G129+G137+G142+G147+G134</f>
        <v>6803803.2000000002</v>
      </c>
      <c r="H128" s="167">
        <f>H152+H129+H137+H142+H147+H134</f>
        <v>7349202.9299999997</v>
      </c>
      <c r="I128" s="167">
        <f>I152+I129+I137+I142+I147+I134</f>
        <v>7349202.9299999997</v>
      </c>
      <c r="J128" s="216">
        <f t="shared" si="60"/>
        <v>0</v>
      </c>
      <c r="K128" s="216"/>
      <c r="L128" s="167">
        <f>L152+L129+L137+L142+L147+L134</f>
        <v>7349202.9299999997</v>
      </c>
    </row>
    <row r="129" spans="1:12" ht="57.75" customHeight="1" outlineLevel="7">
      <c r="A129" s="187" t="s">
        <v>438</v>
      </c>
      <c r="B129" s="163" t="s">
        <v>504</v>
      </c>
      <c r="C129" s="163" t="s">
        <v>24</v>
      </c>
      <c r="D129" s="163" t="s">
        <v>278</v>
      </c>
      <c r="E129" s="169" t="s">
        <v>6</v>
      </c>
      <c r="F129" s="167">
        <f>F130+F132</f>
        <v>1395192</v>
      </c>
      <c r="G129" s="167">
        <f t="shared" ref="G129:H129" si="99">G130+G132</f>
        <v>1361162</v>
      </c>
      <c r="H129" s="167">
        <f t="shared" si="99"/>
        <v>1414316</v>
      </c>
      <c r="I129" s="182">
        <f t="shared" ref="I129" si="100">I130+I132</f>
        <v>1414316</v>
      </c>
      <c r="J129" s="216">
        <f t="shared" si="60"/>
        <v>0</v>
      </c>
      <c r="K129" s="216"/>
      <c r="L129" s="182">
        <f t="shared" ref="L129" si="101">L130+L132</f>
        <v>1414316</v>
      </c>
    </row>
    <row r="130" spans="1:12" ht="58.65" customHeight="1" outlineLevel="7">
      <c r="A130" s="164" t="s">
        <v>11</v>
      </c>
      <c r="B130" s="163" t="s">
        <v>504</v>
      </c>
      <c r="C130" s="163" t="s">
        <v>24</v>
      </c>
      <c r="D130" s="163" t="s">
        <v>278</v>
      </c>
      <c r="E130" s="169" t="s">
        <v>12</v>
      </c>
      <c r="F130" s="167">
        <f>F131</f>
        <v>1380192</v>
      </c>
      <c r="G130" s="167">
        <f t="shared" ref="G130:I130" si="102">G131</f>
        <v>1346162</v>
      </c>
      <c r="H130" s="167">
        <f t="shared" si="102"/>
        <v>1399316</v>
      </c>
      <c r="I130" s="182">
        <f t="shared" si="102"/>
        <v>1399316</v>
      </c>
      <c r="J130" s="216">
        <f t="shared" si="60"/>
        <v>0</v>
      </c>
      <c r="K130" s="216"/>
      <c r="L130" s="182">
        <f t="shared" ref="L130" si="103">L131</f>
        <v>1399316</v>
      </c>
    </row>
    <row r="131" spans="1:12" ht="18.75" customHeight="1" outlineLevel="7">
      <c r="A131" s="164" t="s">
        <v>13</v>
      </c>
      <c r="B131" s="163" t="s">
        <v>504</v>
      </c>
      <c r="C131" s="163" t="s">
        <v>24</v>
      </c>
      <c r="D131" s="163" t="s">
        <v>278</v>
      </c>
      <c r="E131" s="169" t="s">
        <v>14</v>
      </c>
      <c r="F131" s="167">
        <f>1346162+34030</f>
        <v>1380192</v>
      </c>
      <c r="G131" s="167">
        <v>1346162</v>
      </c>
      <c r="H131" s="167">
        <v>1399316</v>
      </c>
      <c r="I131" s="182">
        <v>1399316</v>
      </c>
      <c r="J131" s="216">
        <f t="shared" si="60"/>
        <v>0</v>
      </c>
      <c r="K131" s="216"/>
      <c r="L131" s="182">
        <v>1399316</v>
      </c>
    </row>
    <row r="132" spans="1:12" ht="19.5" customHeight="1" outlineLevel="7">
      <c r="A132" s="164" t="s">
        <v>15</v>
      </c>
      <c r="B132" s="163" t="s">
        <v>504</v>
      </c>
      <c r="C132" s="163" t="s">
        <v>24</v>
      </c>
      <c r="D132" s="163" t="s">
        <v>278</v>
      </c>
      <c r="E132" s="169" t="s">
        <v>16</v>
      </c>
      <c r="F132" s="167">
        <f>F133</f>
        <v>15000</v>
      </c>
      <c r="G132" s="167">
        <f t="shared" ref="G132:I132" si="104">G133</f>
        <v>15000</v>
      </c>
      <c r="H132" s="167">
        <f t="shared" si="104"/>
        <v>15000</v>
      </c>
      <c r="I132" s="182">
        <f t="shared" si="104"/>
        <v>15000</v>
      </c>
      <c r="J132" s="216">
        <f t="shared" si="60"/>
        <v>0</v>
      </c>
      <c r="K132" s="216"/>
      <c r="L132" s="182">
        <f t="shared" ref="L132" si="105">L133</f>
        <v>15000</v>
      </c>
    </row>
    <row r="133" spans="1:12" ht="54" outlineLevel="7">
      <c r="A133" s="164" t="s">
        <v>17</v>
      </c>
      <c r="B133" s="163" t="s">
        <v>504</v>
      </c>
      <c r="C133" s="163" t="s">
        <v>24</v>
      </c>
      <c r="D133" s="163" t="s">
        <v>278</v>
      </c>
      <c r="E133" s="169" t="s">
        <v>18</v>
      </c>
      <c r="F133" s="167">
        <v>15000</v>
      </c>
      <c r="G133" s="167">
        <v>15000</v>
      </c>
      <c r="H133" s="167">
        <v>15000</v>
      </c>
      <c r="I133" s="182">
        <v>15000</v>
      </c>
      <c r="J133" s="216">
        <f t="shared" si="60"/>
        <v>0</v>
      </c>
      <c r="K133" s="216"/>
      <c r="L133" s="182">
        <v>15000</v>
      </c>
    </row>
    <row r="134" spans="1:12" ht="126" outlineLevel="7">
      <c r="A134" s="164" t="s">
        <v>736</v>
      </c>
      <c r="B134" s="163" t="s">
        <v>504</v>
      </c>
      <c r="C134" s="163" t="s">
        <v>24</v>
      </c>
      <c r="D134" s="163" t="s">
        <v>735</v>
      </c>
      <c r="E134" s="163" t="s">
        <v>6</v>
      </c>
      <c r="F134" s="167">
        <f>F135</f>
        <v>272232</v>
      </c>
      <c r="G134" s="167">
        <f>G135</f>
        <v>0</v>
      </c>
      <c r="H134" s="167">
        <f t="shared" ref="H134:I135" si="106">H135</f>
        <v>353579</v>
      </c>
      <c r="I134" s="182">
        <f t="shared" si="106"/>
        <v>353579</v>
      </c>
      <c r="J134" s="216">
        <f t="shared" si="60"/>
        <v>0</v>
      </c>
      <c r="K134" s="216"/>
      <c r="L134" s="182">
        <f t="shared" ref="L134:L135" si="107">L135</f>
        <v>353579</v>
      </c>
    </row>
    <row r="135" spans="1:12" ht="54" outlineLevel="7">
      <c r="A135" s="164" t="s">
        <v>13</v>
      </c>
      <c r="B135" s="163" t="s">
        <v>504</v>
      </c>
      <c r="C135" s="163" t="s">
        <v>24</v>
      </c>
      <c r="D135" s="163" t="s">
        <v>735</v>
      </c>
      <c r="E135" s="163" t="s">
        <v>12</v>
      </c>
      <c r="F135" s="167">
        <f>F136</f>
        <v>272232</v>
      </c>
      <c r="G135" s="167">
        <f>G136</f>
        <v>0</v>
      </c>
      <c r="H135" s="167">
        <f t="shared" si="106"/>
        <v>353579</v>
      </c>
      <c r="I135" s="182">
        <f t="shared" si="106"/>
        <v>353579</v>
      </c>
      <c r="J135" s="216">
        <f t="shared" si="60"/>
        <v>0</v>
      </c>
      <c r="K135" s="216"/>
      <c r="L135" s="182">
        <f t="shared" si="107"/>
        <v>353579</v>
      </c>
    </row>
    <row r="136" spans="1:12" ht="36" outlineLevel="7">
      <c r="A136" s="164" t="s">
        <v>15</v>
      </c>
      <c r="B136" s="163" t="s">
        <v>504</v>
      </c>
      <c r="C136" s="163" t="s">
        <v>24</v>
      </c>
      <c r="D136" s="163" t="s">
        <v>735</v>
      </c>
      <c r="E136" s="163" t="s">
        <v>14</v>
      </c>
      <c r="F136" s="167">
        <v>272232</v>
      </c>
      <c r="G136" s="167">
        <v>0</v>
      </c>
      <c r="H136" s="167">
        <v>353579</v>
      </c>
      <c r="I136" s="182">
        <v>353579</v>
      </c>
      <c r="J136" s="216">
        <f t="shared" si="60"/>
        <v>0</v>
      </c>
      <c r="K136" s="216"/>
      <c r="L136" s="182">
        <v>353579</v>
      </c>
    </row>
    <row r="137" spans="1:12" ht="22.65" customHeight="1" outlineLevel="7">
      <c r="A137" s="187" t="s">
        <v>584</v>
      </c>
      <c r="B137" s="163" t="s">
        <v>504</v>
      </c>
      <c r="C137" s="163" t="s">
        <v>24</v>
      </c>
      <c r="D137" s="163" t="s">
        <v>591</v>
      </c>
      <c r="E137" s="169" t="s">
        <v>6</v>
      </c>
      <c r="F137" s="167">
        <f>F138+F140</f>
        <v>1998463</v>
      </c>
      <c r="G137" s="167">
        <f t="shared" ref="G137:H137" si="108">G138+G140</f>
        <v>2017233</v>
      </c>
      <c r="H137" s="167">
        <f t="shared" si="108"/>
        <v>2096028</v>
      </c>
      <c r="I137" s="182">
        <f t="shared" ref="I137" si="109">I138+I140</f>
        <v>2096028</v>
      </c>
      <c r="J137" s="216">
        <f t="shared" si="60"/>
        <v>0</v>
      </c>
      <c r="K137" s="216"/>
      <c r="L137" s="182">
        <f t="shared" ref="L137" si="110">L138+L140</f>
        <v>2096028</v>
      </c>
    </row>
    <row r="138" spans="1:12" ht="57.75" customHeight="1" outlineLevel="7">
      <c r="A138" s="164" t="s">
        <v>11</v>
      </c>
      <c r="B138" s="163" t="s">
        <v>504</v>
      </c>
      <c r="C138" s="163" t="s">
        <v>24</v>
      </c>
      <c r="D138" s="163" t="s">
        <v>591</v>
      </c>
      <c r="E138" s="169" t="s">
        <v>12</v>
      </c>
      <c r="F138" s="167">
        <f>F139</f>
        <v>1983463</v>
      </c>
      <c r="G138" s="167">
        <f t="shared" ref="G138:I138" si="111">G139</f>
        <v>2002233</v>
      </c>
      <c r="H138" s="167">
        <f t="shared" si="111"/>
        <v>2081028</v>
      </c>
      <c r="I138" s="182">
        <f t="shared" si="111"/>
        <v>2081028</v>
      </c>
      <c r="J138" s="216">
        <f t="shared" si="60"/>
        <v>0</v>
      </c>
      <c r="K138" s="216"/>
      <c r="L138" s="182">
        <f t="shared" ref="L138" si="112">L139</f>
        <v>2081028</v>
      </c>
    </row>
    <row r="139" spans="1:12" ht="19.5" customHeight="1" outlineLevel="7">
      <c r="A139" s="164" t="s">
        <v>13</v>
      </c>
      <c r="B139" s="163" t="s">
        <v>504</v>
      </c>
      <c r="C139" s="163" t="s">
        <v>24</v>
      </c>
      <c r="D139" s="163" t="s">
        <v>591</v>
      </c>
      <c r="E139" s="169" t="s">
        <v>14</v>
      </c>
      <c r="F139" s="167">
        <v>1983463</v>
      </c>
      <c r="G139" s="167">
        <v>2002233</v>
      </c>
      <c r="H139" s="167">
        <v>2081028</v>
      </c>
      <c r="I139" s="182">
        <v>2081028</v>
      </c>
      <c r="J139" s="216">
        <f t="shared" si="60"/>
        <v>0</v>
      </c>
      <c r="K139" s="216"/>
      <c r="L139" s="182">
        <v>2081028</v>
      </c>
    </row>
    <row r="140" spans="1:12" ht="21.15" customHeight="1" outlineLevel="7">
      <c r="A140" s="164" t="s">
        <v>15</v>
      </c>
      <c r="B140" s="163" t="s">
        <v>504</v>
      </c>
      <c r="C140" s="163" t="s">
        <v>24</v>
      </c>
      <c r="D140" s="163" t="s">
        <v>591</v>
      </c>
      <c r="E140" s="169" t="s">
        <v>16</v>
      </c>
      <c r="F140" s="167">
        <f>F141</f>
        <v>15000</v>
      </c>
      <c r="G140" s="167">
        <f t="shared" ref="G140:I140" si="113">G141</f>
        <v>15000</v>
      </c>
      <c r="H140" s="167">
        <f t="shared" si="113"/>
        <v>15000</v>
      </c>
      <c r="I140" s="182">
        <f t="shared" si="113"/>
        <v>15000</v>
      </c>
      <c r="J140" s="216">
        <f t="shared" si="60"/>
        <v>0</v>
      </c>
      <c r="K140" s="216"/>
      <c r="L140" s="182">
        <f t="shared" ref="L140" si="114">L141</f>
        <v>15000</v>
      </c>
    </row>
    <row r="141" spans="1:12" ht="54" outlineLevel="7">
      <c r="A141" s="164" t="s">
        <v>17</v>
      </c>
      <c r="B141" s="163" t="s">
        <v>504</v>
      </c>
      <c r="C141" s="163" t="s">
        <v>24</v>
      </c>
      <c r="D141" s="163" t="s">
        <v>591</v>
      </c>
      <c r="E141" s="169" t="s">
        <v>18</v>
      </c>
      <c r="F141" s="167">
        <v>15000</v>
      </c>
      <c r="G141" s="167">
        <v>15000</v>
      </c>
      <c r="H141" s="167">
        <v>15000</v>
      </c>
      <c r="I141" s="182">
        <v>15000</v>
      </c>
      <c r="J141" s="216">
        <f t="shared" si="60"/>
        <v>0</v>
      </c>
      <c r="K141" s="216"/>
      <c r="L141" s="182">
        <v>15000</v>
      </c>
    </row>
    <row r="142" spans="1:12" ht="90" outlineLevel="3">
      <c r="A142" s="187" t="s">
        <v>382</v>
      </c>
      <c r="B142" s="163" t="s">
        <v>504</v>
      </c>
      <c r="C142" s="163" t="s">
        <v>24</v>
      </c>
      <c r="D142" s="163" t="s">
        <v>279</v>
      </c>
      <c r="E142" s="169" t="s">
        <v>6</v>
      </c>
      <c r="F142" s="167">
        <f>F143+F145</f>
        <v>794861</v>
      </c>
      <c r="G142" s="167">
        <f t="shared" ref="G142:H142" si="115">G143+G145</f>
        <v>802160</v>
      </c>
      <c r="H142" s="167">
        <f t="shared" si="115"/>
        <v>830909</v>
      </c>
      <c r="I142" s="182">
        <f t="shared" ref="I142" si="116">I143+I145</f>
        <v>830909</v>
      </c>
      <c r="J142" s="216">
        <f t="shared" si="60"/>
        <v>0</v>
      </c>
      <c r="K142" s="216"/>
      <c r="L142" s="182">
        <f t="shared" ref="L142" si="117">L143+L145</f>
        <v>830909</v>
      </c>
    </row>
    <row r="143" spans="1:12" ht="57.75" customHeight="1" outlineLevel="3">
      <c r="A143" s="164" t="s">
        <v>11</v>
      </c>
      <c r="B143" s="163" t="s">
        <v>504</v>
      </c>
      <c r="C143" s="163" t="s">
        <v>24</v>
      </c>
      <c r="D143" s="163" t="s">
        <v>279</v>
      </c>
      <c r="E143" s="169" t="s">
        <v>12</v>
      </c>
      <c r="F143" s="167">
        <f>F144</f>
        <v>749861</v>
      </c>
      <c r="G143" s="167">
        <f t="shared" ref="G143:I143" si="118">G144</f>
        <v>757160</v>
      </c>
      <c r="H143" s="167">
        <f t="shared" si="118"/>
        <v>785909</v>
      </c>
      <c r="I143" s="182">
        <f t="shared" si="118"/>
        <v>785909</v>
      </c>
      <c r="J143" s="216">
        <f t="shared" ref="J143:J211" si="119">I143-H143</f>
        <v>0</v>
      </c>
      <c r="K143" s="216"/>
      <c r="L143" s="182">
        <f t="shared" ref="L143" si="120">L144</f>
        <v>785909</v>
      </c>
    </row>
    <row r="144" spans="1:12" ht="18.75" customHeight="1" outlineLevel="3">
      <c r="A144" s="164" t="s">
        <v>13</v>
      </c>
      <c r="B144" s="163" t="s">
        <v>504</v>
      </c>
      <c r="C144" s="163" t="s">
        <v>24</v>
      </c>
      <c r="D144" s="163" t="s">
        <v>279</v>
      </c>
      <c r="E144" s="169" t="s">
        <v>14</v>
      </c>
      <c r="F144" s="167">
        <v>749861</v>
      </c>
      <c r="G144" s="167">
        <v>757160</v>
      </c>
      <c r="H144" s="218">
        <v>785909</v>
      </c>
      <c r="I144" s="204">
        <v>785909</v>
      </c>
      <c r="J144" s="216">
        <f t="shared" si="119"/>
        <v>0</v>
      </c>
      <c r="K144" s="216"/>
      <c r="L144" s="204">
        <v>785909</v>
      </c>
    </row>
    <row r="145" spans="1:12" ht="20.25" customHeight="1" outlineLevel="3">
      <c r="A145" s="164" t="s">
        <v>15</v>
      </c>
      <c r="B145" s="163" t="s">
        <v>504</v>
      </c>
      <c r="C145" s="163" t="s">
        <v>24</v>
      </c>
      <c r="D145" s="163" t="s">
        <v>279</v>
      </c>
      <c r="E145" s="169" t="s">
        <v>16</v>
      </c>
      <c r="F145" s="167">
        <f>F146</f>
        <v>45000</v>
      </c>
      <c r="G145" s="167">
        <f t="shared" ref="G145:I145" si="121">G146</f>
        <v>45000</v>
      </c>
      <c r="H145" s="167">
        <f t="shared" si="121"/>
        <v>45000</v>
      </c>
      <c r="I145" s="167">
        <f t="shared" si="121"/>
        <v>45000</v>
      </c>
      <c r="J145" s="216">
        <f t="shared" si="119"/>
        <v>0</v>
      </c>
      <c r="K145" s="216"/>
      <c r="L145" s="167">
        <f t="shared" ref="L145" si="122">L146</f>
        <v>45000</v>
      </c>
    </row>
    <row r="146" spans="1:12" ht="54" outlineLevel="5">
      <c r="A146" s="164" t="s">
        <v>17</v>
      </c>
      <c r="B146" s="163" t="s">
        <v>504</v>
      </c>
      <c r="C146" s="163" t="s">
        <v>24</v>
      </c>
      <c r="D146" s="163" t="s">
        <v>279</v>
      </c>
      <c r="E146" s="169" t="s">
        <v>18</v>
      </c>
      <c r="F146" s="167">
        <v>45000</v>
      </c>
      <c r="G146" s="167">
        <v>45000</v>
      </c>
      <c r="H146" s="167">
        <v>45000</v>
      </c>
      <c r="I146" s="182">
        <v>45000</v>
      </c>
      <c r="J146" s="216">
        <f t="shared" si="119"/>
        <v>0</v>
      </c>
      <c r="K146" s="216"/>
      <c r="L146" s="182">
        <v>45000</v>
      </c>
    </row>
    <row r="147" spans="1:12" ht="72" outlineLevel="5">
      <c r="A147" s="164" t="s">
        <v>406</v>
      </c>
      <c r="B147" s="163" t="s">
        <v>504</v>
      </c>
      <c r="C147" s="163" t="s">
        <v>24</v>
      </c>
      <c r="D147" s="163" t="s">
        <v>407</v>
      </c>
      <c r="E147" s="169" t="s">
        <v>6</v>
      </c>
      <c r="F147" s="167">
        <f>F148+F150</f>
        <v>1865848</v>
      </c>
      <c r="G147" s="167">
        <f>G148+G150</f>
        <v>1882931</v>
      </c>
      <c r="H147" s="167">
        <f>H148+H150</f>
        <v>1950219</v>
      </c>
      <c r="I147" s="182">
        <f>I148+I150</f>
        <v>1950219</v>
      </c>
      <c r="J147" s="216">
        <f t="shared" si="119"/>
        <v>0</v>
      </c>
      <c r="K147" s="216"/>
      <c r="L147" s="182">
        <f>L148+L150</f>
        <v>1950219</v>
      </c>
    </row>
    <row r="148" spans="1:12" ht="60" customHeight="1" outlineLevel="5">
      <c r="A148" s="164" t="s">
        <v>11</v>
      </c>
      <c r="B148" s="163" t="s">
        <v>504</v>
      </c>
      <c r="C148" s="163" t="s">
        <v>24</v>
      </c>
      <c r="D148" s="163" t="s">
        <v>407</v>
      </c>
      <c r="E148" s="169" t="s">
        <v>12</v>
      </c>
      <c r="F148" s="167">
        <f>F149</f>
        <v>1708248</v>
      </c>
      <c r="G148" s="167">
        <f>G149</f>
        <v>1725331</v>
      </c>
      <c r="H148" s="167">
        <f>H149</f>
        <v>1792619</v>
      </c>
      <c r="I148" s="182">
        <f>I149</f>
        <v>1792619</v>
      </c>
      <c r="J148" s="216">
        <f t="shared" si="119"/>
        <v>0</v>
      </c>
      <c r="K148" s="216"/>
      <c r="L148" s="182">
        <f>L149</f>
        <v>1792619</v>
      </c>
    </row>
    <row r="149" spans="1:12" ht="18.75" customHeight="1" outlineLevel="5">
      <c r="A149" s="164" t="s">
        <v>13</v>
      </c>
      <c r="B149" s="163" t="s">
        <v>504</v>
      </c>
      <c r="C149" s="163" t="s">
        <v>24</v>
      </c>
      <c r="D149" s="163" t="s">
        <v>407</v>
      </c>
      <c r="E149" s="169" t="s">
        <v>14</v>
      </c>
      <c r="F149" s="167">
        <v>1708248</v>
      </c>
      <c r="G149" s="167">
        <v>1725331</v>
      </c>
      <c r="H149" s="167">
        <v>1792619</v>
      </c>
      <c r="I149" s="182">
        <v>1792619</v>
      </c>
      <c r="J149" s="216">
        <f t="shared" si="119"/>
        <v>0</v>
      </c>
      <c r="K149" s="216"/>
      <c r="L149" s="182">
        <v>1792619</v>
      </c>
    </row>
    <row r="150" spans="1:12" ht="19.5" customHeight="1" outlineLevel="5">
      <c r="A150" s="164" t="s">
        <v>15</v>
      </c>
      <c r="B150" s="163" t="s">
        <v>504</v>
      </c>
      <c r="C150" s="163" t="s">
        <v>24</v>
      </c>
      <c r="D150" s="163" t="s">
        <v>407</v>
      </c>
      <c r="E150" s="169" t="s">
        <v>16</v>
      </c>
      <c r="F150" s="167">
        <f>F151</f>
        <v>157600</v>
      </c>
      <c r="G150" s="167">
        <f>G151</f>
        <v>157600</v>
      </c>
      <c r="H150" s="167">
        <f>H151</f>
        <v>157600</v>
      </c>
      <c r="I150" s="167">
        <f>I151</f>
        <v>157600</v>
      </c>
      <c r="J150" s="216">
        <f t="shared" si="119"/>
        <v>0</v>
      </c>
      <c r="K150" s="216"/>
      <c r="L150" s="167">
        <f>L151</f>
        <v>157600</v>
      </c>
    </row>
    <row r="151" spans="1:12" ht="54" outlineLevel="5">
      <c r="A151" s="164" t="s">
        <v>17</v>
      </c>
      <c r="B151" s="163" t="s">
        <v>504</v>
      </c>
      <c r="C151" s="163" t="s">
        <v>24</v>
      </c>
      <c r="D151" s="163" t="s">
        <v>407</v>
      </c>
      <c r="E151" s="169" t="s">
        <v>18</v>
      </c>
      <c r="F151" s="167">
        <v>157600</v>
      </c>
      <c r="G151" s="167">
        <v>157600</v>
      </c>
      <c r="H151" s="167">
        <v>157600</v>
      </c>
      <c r="I151" s="182">
        <v>157600</v>
      </c>
      <c r="J151" s="216">
        <f t="shared" si="119"/>
        <v>0</v>
      </c>
      <c r="K151" s="216"/>
      <c r="L151" s="182">
        <v>157600</v>
      </c>
    </row>
    <row r="152" spans="1:12" ht="119.25" customHeight="1" outlineLevel="7">
      <c r="A152" s="187" t="s">
        <v>667</v>
      </c>
      <c r="B152" s="163" t="s">
        <v>504</v>
      </c>
      <c r="C152" s="163" t="s">
        <v>24</v>
      </c>
      <c r="D152" s="163" t="s">
        <v>295</v>
      </c>
      <c r="E152" s="169" t="s">
        <v>6</v>
      </c>
      <c r="F152" s="167">
        <f>F153+F155</f>
        <v>740317.2</v>
      </c>
      <c r="G152" s="167">
        <f>G153+G155</f>
        <v>740317.2</v>
      </c>
      <c r="H152" s="167">
        <f>H153+H155</f>
        <v>704151.93</v>
      </c>
      <c r="I152" s="182">
        <f>I153+I155</f>
        <v>704151.93</v>
      </c>
      <c r="J152" s="216">
        <f t="shared" si="119"/>
        <v>0</v>
      </c>
      <c r="K152" s="216"/>
      <c r="L152" s="182">
        <f>L153+L155</f>
        <v>704151.93</v>
      </c>
    </row>
    <row r="153" spans="1:12" ht="57.75" customHeight="1" outlineLevel="7">
      <c r="A153" s="164" t="s">
        <v>11</v>
      </c>
      <c r="B153" s="163" t="s">
        <v>504</v>
      </c>
      <c r="C153" s="163" t="s">
        <v>24</v>
      </c>
      <c r="D153" s="163" t="s">
        <v>295</v>
      </c>
      <c r="E153" s="169" t="s">
        <v>12</v>
      </c>
      <c r="F153" s="167">
        <f>F154</f>
        <v>680317.2</v>
      </c>
      <c r="G153" s="167">
        <f t="shared" ref="G153:I153" si="123">G154</f>
        <v>680317.2</v>
      </c>
      <c r="H153" s="167">
        <f t="shared" si="123"/>
        <v>644151.93000000005</v>
      </c>
      <c r="I153" s="182">
        <f t="shared" si="123"/>
        <v>644151.93000000005</v>
      </c>
      <c r="J153" s="216">
        <f t="shared" si="119"/>
        <v>0</v>
      </c>
      <c r="K153" s="216"/>
      <c r="L153" s="182">
        <f t="shared" ref="L153" si="124">L154</f>
        <v>644151.93000000005</v>
      </c>
    </row>
    <row r="154" spans="1:12" ht="18.75" customHeight="1" outlineLevel="7">
      <c r="A154" s="164" t="s">
        <v>13</v>
      </c>
      <c r="B154" s="163" t="s">
        <v>504</v>
      </c>
      <c r="C154" s="163" t="s">
        <v>24</v>
      </c>
      <c r="D154" s="163" t="s">
        <v>295</v>
      </c>
      <c r="E154" s="169" t="s">
        <v>14</v>
      </c>
      <c r="F154" s="167">
        <v>680317.2</v>
      </c>
      <c r="G154" s="167">
        <v>680317.2</v>
      </c>
      <c r="H154" s="167">
        <v>644151.93000000005</v>
      </c>
      <c r="I154" s="182">
        <v>644151.93000000005</v>
      </c>
      <c r="J154" s="216">
        <f t="shared" si="119"/>
        <v>0</v>
      </c>
      <c r="K154" s="216"/>
      <c r="L154" s="182">
        <v>644151.93000000005</v>
      </c>
    </row>
    <row r="155" spans="1:12" ht="20.25" customHeight="1" outlineLevel="7">
      <c r="A155" s="164" t="s">
        <v>15</v>
      </c>
      <c r="B155" s="163" t="s">
        <v>504</v>
      </c>
      <c r="C155" s="163" t="s">
        <v>24</v>
      </c>
      <c r="D155" s="163" t="s">
        <v>295</v>
      </c>
      <c r="E155" s="169" t="s">
        <v>16</v>
      </c>
      <c r="F155" s="167">
        <f>F156</f>
        <v>60000</v>
      </c>
      <c r="G155" s="167">
        <f>G156</f>
        <v>60000</v>
      </c>
      <c r="H155" s="167">
        <f>H156</f>
        <v>60000</v>
      </c>
      <c r="I155" s="182">
        <f>I156</f>
        <v>60000</v>
      </c>
      <c r="J155" s="216">
        <f t="shared" si="119"/>
        <v>0</v>
      </c>
      <c r="K155" s="216"/>
      <c r="L155" s="182">
        <f>L156</f>
        <v>60000</v>
      </c>
    </row>
    <row r="156" spans="1:12" ht="54" outlineLevel="7">
      <c r="A156" s="164" t="s">
        <v>17</v>
      </c>
      <c r="B156" s="163" t="s">
        <v>504</v>
      </c>
      <c r="C156" s="163" t="s">
        <v>24</v>
      </c>
      <c r="D156" s="163" t="s">
        <v>295</v>
      </c>
      <c r="E156" s="169" t="s">
        <v>18</v>
      </c>
      <c r="F156" s="167">
        <v>60000</v>
      </c>
      <c r="G156" s="167">
        <v>60000</v>
      </c>
      <c r="H156" s="167">
        <v>60000</v>
      </c>
      <c r="I156" s="182">
        <v>60000</v>
      </c>
      <c r="J156" s="216">
        <f t="shared" si="119"/>
        <v>0</v>
      </c>
      <c r="K156" s="216"/>
      <c r="L156" s="182">
        <v>60000</v>
      </c>
    </row>
    <row r="157" spans="1:12" ht="19.5" customHeight="1" outlineLevel="7">
      <c r="A157" s="196" t="s">
        <v>592</v>
      </c>
      <c r="B157" s="197" t="s">
        <v>504</v>
      </c>
      <c r="C157" s="197" t="s">
        <v>26</v>
      </c>
      <c r="D157" s="197" t="s">
        <v>126</v>
      </c>
      <c r="E157" s="198" t="s">
        <v>6</v>
      </c>
      <c r="F157" s="167">
        <f t="shared" ref="F157:I162" si="125">F158</f>
        <v>1465972.63</v>
      </c>
      <c r="G157" s="167">
        <f t="shared" si="125"/>
        <v>1348180</v>
      </c>
      <c r="H157" s="167">
        <f t="shared" si="125"/>
        <v>1591180</v>
      </c>
      <c r="I157" s="182">
        <f t="shared" si="125"/>
        <v>1591180</v>
      </c>
      <c r="J157" s="216">
        <f t="shared" si="119"/>
        <v>0</v>
      </c>
      <c r="K157" s="216"/>
      <c r="L157" s="182">
        <f t="shared" ref="L157:L162" si="126">L158</f>
        <v>1591180</v>
      </c>
    </row>
    <row r="158" spans="1:12" ht="19.5" customHeight="1" outlineLevel="7">
      <c r="A158" s="164" t="s">
        <v>593</v>
      </c>
      <c r="B158" s="163" t="s">
        <v>504</v>
      </c>
      <c r="C158" s="163" t="s">
        <v>594</v>
      </c>
      <c r="D158" s="163" t="s">
        <v>126</v>
      </c>
      <c r="E158" s="169" t="s">
        <v>6</v>
      </c>
      <c r="F158" s="167">
        <f t="shared" si="125"/>
        <v>1465972.63</v>
      </c>
      <c r="G158" s="167">
        <f t="shared" si="125"/>
        <v>1348180</v>
      </c>
      <c r="H158" s="167">
        <f t="shared" si="125"/>
        <v>1591180</v>
      </c>
      <c r="I158" s="182">
        <f t="shared" si="125"/>
        <v>1591180</v>
      </c>
      <c r="J158" s="216">
        <f t="shared" si="119"/>
        <v>0</v>
      </c>
      <c r="K158" s="216"/>
      <c r="L158" s="182">
        <f t="shared" si="126"/>
        <v>1591180</v>
      </c>
    </row>
    <row r="159" spans="1:12" ht="36" outlineLevel="7">
      <c r="A159" s="164" t="s">
        <v>132</v>
      </c>
      <c r="B159" s="163" t="s">
        <v>504</v>
      </c>
      <c r="C159" s="163" t="s">
        <v>594</v>
      </c>
      <c r="D159" s="163" t="s">
        <v>127</v>
      </c>
      <c r="E159" s="169" t="s">
        <v>6</v>
      </c>
      <c r="F159" s="167">
        <f t="shared" ref="F159:I159" si="127">F160+F164</f>
        <v>1465972.63</v>
      </c>
      <c r="G159" s="167">
        <f t="shared" si="127"/>
        <v>1348180</v>
      </c>
      <c r="H159" s="167">
        <f t="shared" si="127"/>
        <v>1591180</v>
      </c>
      <c r="I159" s="182">
        <f t="shared" si="127"/>
        <v>1591180</v>
      </c>
      <c r="J159" s="216">
        <f t="shared" si="119"/>
        <v>0</v>
      </c>
      <c r="K159" s="216"/>
      <c r="L159" s="182">
        <f t="shared" ref="L159" si="128">L160+L164</f>
        <v>1591180</v>
      </c>
    </row>
    <row r="160" spans="1:12" ht="36" outlineLevel="7">
      <c r="A160" s="164" t="s">
        <v>277</v>
      </c>
      <c r="B160" s="163" t="s">
        <v>504</v>
      </c>
      <c r="C160" s="163" t="s">
        <v>594</v>
      </c>
      <c r="D160" s="163" t="s">
        <v>276</v>
      </c>
      <c r="E160" s="169" t="s">
        <v>6</v>
      </c>
      <c r="F160" s="167">
        <f t="shared" si="125"/>
        <v>1334332</v>
      </c>
      <c r="G160" s="167">
        <f t="shared" si="125"/>
        <v>1348180</v>
      </c>
      <c r="H160" s="167">
        <f t="shared" si="125"/>
        <v>1348180</v>
      </c>
      <c r="I160" s="182">
        <f t="shared" si="125"/>
        <v>1348180</v>
      </c>
      <c r="J160" s="216">
        <f t="shared" si="119"/>
        <v>0</v>
      </c>
      <c r="K160" s="216"/>
      <c r="L160" s="182">
        <f t="shared" si="126"/>
        <v>1348180</v>
      </c>
    </row>
    <row r="161" spans="1:12" ht="54" outlineLevel="7">
      <c r="A161" s="200" t="s">
        <v>595</v>
      </c>
      <c r="B161" s="163" t="s">
        <v>504</v>
      </c>
      <c r="C161" s="163" t="s">
        <v>594</v>
      </c>
      <c r="D161" s="163" t="s">
        <v>596</v>
      </c>
      <c r="E161" s="169" t="s">
        <v>6</v>
      </c>
      <c r="F161" s="167">
        <f t="shared" ref="F161:F162" si="129">F162</f>
        <v>1334332</v>
      </c>
      <c r="G161" s="167">
        <f t="shared" si="125"/>
        <v>1348180</v>
      </c>
      <c r="H161" s="167">
        <f t="shared" si="125"/>
        <v>1348180</v>
      </c>
      <c r="I161" s="182">
        <f t="shared" si="125"/>
        <v>1348180</v>
      </c>
      <c r="J161" s="216">
        <f t="shared" si="119"/>
        <v>0</v>
      </c>
      <c r="K161" s="216"/>
      <c r="L161" s="182">
        <f t="shared" si="126"/>
        <v>1348180</v>
      </c>
    </row>
    <row r="162" spans="1:12" ht="57.15" customHeight="1" outlineLevel="7">
      <c r="A162" s="164" t="s">
        <v>11</v>
      </c>
      <c r="B162" s="163" t="s">
        <v>504</v>
      </c>
      <c r="C162" s="163" t="s">
        <v>594</v>
      </c>
      <c r="D162" s="163" t="s">
        <v>596</v>
      </c>
      <c r="E162" s="169" t="s">
        <v>12</v>
      </c>
      <c r="F162" s="167">
        <f t="shared" si="129"/>
        <v>1334332</v>
      </c>
      <c r="G162" s="167">
        <f t="shared" si="125"/>
        <v>1348180</v>
      </c>
      <c r="H162" s="167">
        <f t="shared" si="125"/>
        <v>1348180</v>
      </c>
      <c r="I162" s="182">
        <f t="shared" si="125"/>
        <v>1348180</v>
      </c>
      <c r="J162" s="216">
        <f t="shared" si="119"/>
        <v>0</v>
      </c>
      <c r="K162" s="216"/>
      <c r="L162" s="182">
        <f t="shared" si="126"/>
        <v>1348180</v>
      </c>
    </row>
    <row r="163" spans="1:12" ht="36" outlineLevel="7">
      <c r="A163" s="164" t="s">
        <v>34</v>
      </c>
      <c r="B163" s="163" t="s">
        <v>504</v>
      </c>
      <c r="C163" s="163" t="s">
        <v>594</v>
      </c>
      <c r="D163" s="163" t="s">
        <v>596</v>
      </c>
      <c r="E163" s="169" t="s">
        <v>35</v>
      </c>
      <c r="F163" s="167">
        <v>1334332</v>
      </c>
      <c r="G163" s="167">
        <v>1348180</v>
      </c>
      <c r="H163" s="167">
        <v>1348180</v>
      </c>
      <c r="I163" s="182">
        <v>1348180</v>
      </c>
      <c r="J163" s="216">
        <f t="shared" si="119"/>
        <v>0</v>
      </c>
      <c r="K163" s="216"/>
      <c r="L163" s="182">
        <v>1348180</v>
      </c>
    </row>
    <row r="164" spans="1:12" ht="72" outlineLevel="7">
      <c r="A164" s="200" t="s">
        <v>737</v>
      </c>
      <c r="B164" s="163" t="s">
        <v>504</v>
      </c>
      <c r="C164" s="163" t="s">
        <v>594</v>
      </c>
      <c r="D164" s="163" t="s">
        <v>742</v>
      </c>
      <c r="E164" s="163" t="s">
        <v>6</v>
      </c>
      <c r="F164" s="182">
        <f>F165</f>
        <v>131640.63</v>
      </c>
      <c r="G164" s="182">
        <f t="shared" ref="G164:I165" si="130">G165</f>
        <v>0</v>
      </c>
      <c r="H164" s="182">
        <f t="shared" si="130"/>
        <v>243000</v>
      </c>
      <c r="I164" s="182">
        <f t="shared" si="130"/>
        <v>243000</v>
      </c>
      <c r="J164" s="216">
        <f t="shared" si="119"/>
        <v>0</v>
      </c>
      <c r="K164" s="216"/>
      <c r="L164" s="182">
        <f t="shared" ref="L164:L165" si="131">L165</f>
        <v>243000</v>
      </c>
    </row>
    <row r="165" spans="1:12" ht="108" outlineLevel="7">
      <c r="A165" s="164" t="s">
        <v>11</v>
      </c>
      <c r="B165" s="163" t="s">
        <v>504</v>
      </c>
      <c r="C165" s="163" t="s">
        <v>594</v>
      </c>
      <c r="D165" s="163" t="s">
        <v>742</v>
      </c>
      <c r="E165" s="163" t="s">
        <v>12</v>
      </c>
      <c r="F165" s="182">
        <f>F166</f>
        <v>131640.63</v>
      </c>
      <c r="G165" s="182">
        <f t="shared" si="130"/>
        <v>0</v>
      </c>
      <c r="H165" s="182">
        <f t="shared" si="130"/>
        <v>243000</v>
      </c>
      <c r="I165" s="182">
        <f t="shared" si="130"/>
        <v>243000</v>
      </c>
      <c r="J165" s="216">
        <f t="shared" si="119"/>
        <v>0</v>
      </c>
      <c r="K165" s="216"/>
      <c r="L165" s="182">
        <f t="shared" si="131"/>
        <v>243000</v>
      </c>
    </row>
    <row r="166" spans="1:12" ht="36" outlineLevel="7">
      <c r="A166" s="164" t="s">
        <v>34</v>
      </c>
      <c r="B166" s="163" t="s">
        <v>504</v>
      </c>
      <c r="C166" s="163" t="s">
        <v>594</v>
      </c>
      <c r="D166" s="163" t="s">
        <v>742</v>
      </c>
      <c r="E166" s="163" t="s">
        <v>14</v>
      </c>
      <c r="F166" s="182">
        <v>131640.63</v>
      </c>
      <c r="G166" s="167">
        <v>0</v>
      </c>
      <c r="H166" s="167">
        <v>243000</v>
      </c>
      <c r="I166" s="182">
        <f>175000+68000</f>
        <v>243000</v>
      </c>
      <c r="J166" s="216">
        <f t="shared" si="119"/>
        <v>0</v>
      </c>
      <c r="K166" s="216"/>
      <c r="L166" s="182">
        <f>175000+68000</f>
        <v>243000</v>
      </c>
    </row>
    <row r="167" spans="1:12" ht="54" outlineLevel="6">
      <c r="A167" s="196" t="s">
        <v>41</v>
      </c>
      <c r="B167" s="197" t="s">
        <v>504</v>
      </c>
      <c r="C167" s="197" t="s">
        <v>42</v>
      </c>
      <c r="D167" s="197" t="s">
        <v>126</v>
      </c>
      <c r="E167" s="198" t="s">
        <v>6</v>
      </c>
      <c r="F167" s="171">
        <f>F168+F173</f>
        <v>12285348.800000001</v>
      </c>
      <c r="G167" s="171">
        <f>G168+G173</f>
        <v>440000</v>
      </c>
      <c r="H167" s="171">
        <f>H168+H173</f>
        <v>1805000</v>
      </c>
      <c r="I167" s="199">
        <f>I168+I173</f>
        <v>991747.04</v>
      </c>
      <c r="J167" s="216">
        <f t="shared" si="119"/>
        <v>-813252.96</v>
      </c>
      <c r="K167" s="216"/>
      <c r="L167" s="199">
        <f>L168+L173</f>
        <v>991747.04</v>
      </c>
    </row>
    <row r="168" spans="1:12" ht="72" outlineLevel="7">
      <c r="A168" s="164" t="s">
        <v>43</v>
      </c>
      <c r="B168" s="163" t="s">
        <v>504</v>
      </c>
      <c r="C168" s="163" t="s">
        <v>44</v>
      </c>
      <c r="D168" s="163" t="s">
        <v>126</v>
      </c>
      <c r="E168" s="169" t="s">
        <v>6</v>
      </c>
      <c r="F168" s="167">
        <f>F169</f>
        <v>11945348.800000001</v>
      </c>
      <c r="G168" s="167">
        <f t="shared" ref="G168:I171" si="132">G169</f>
        <v>100000</v>
      </c>
      <c r="H168" s="167">
        <f t="shared" si="132"/>
        <v>720000</v>
      </c>
      <c r="I168" s="167">
        <f t="shared" si="132"/>
        <v>406747.04000000004</v>
      </c>
      <c r="J168" s="216">
        <f t="shared" si="119"/>
        <v>-313252.95999999996</v>
      </c>
      <c r="K168" s="216"/>
      <c r="L168" s="167">
        <f t="shared" ref="L168:L171" si="133">L169</f>
        <v>406747.04000000004</v>
      </c>
    </row>
    <row r="169" spans="1:12" ht="36" outlineLevel="1">
      <c r="A169" s="164" t="s">
        <v>132</v>
      </c>
      <c r="B169" s="163" t="s">
        <v>504</v>
      </c>
      <c r="C169" s="163" t="s">
        <v>44</v>
      </c>
      <c r="D169" s="163" t="s">
        <v>127</v>
      </c>
      <c r="E169" s="169" t="s">
        <v>6</v>
      </c>
      <c r="F169" s="167">
        <f>F170</f>
        <v>11945348.800000001</v>
      </c>
      <c r="G169" s="167">
        <f t="shared" si="132"/>
        <v>100000</v>
      </c>
      <c r="H169" s="167">
        <f t="shared" si="132"/>
        <v>720000</v>
      </c>
      <c r="I169" s="167">
        <f t="shared" si="132"/>
        <v>406747.04000000004</v>
      </c>
      <c r="J169" s="216">
        <f t="shared" si="119"/>
        <v>-313252.95999999996</v>
      </c>
      <c r="K169" s="216"/>
      <c r="L169" s="167">
        <f t="shared" si="133"/>
        <v>406747.04000000004</v>
      </c>
    </row>
    <row r="170" spans="1:12" ht="54" outlineLevel="1">
      <c r="A170" s="164" t="s">
        <v>45</v>
      </c>
      <c r="B170" s="163" t="s">
        <v>504</v>
      </c>
      <c r="C170" s="163" t="s">
        <v>44</v>
      </c>
      <c r="D170" s="163" t="s">
        <v>133</v>
      </c>
      <c r="E170" s="169" t="s">
        <v>6</v>
      </c>
      <c r="F170" s="167">
        <f>F171</f>
        <v>11945348.800000001</v>
      </c>
      <c r="G170" s="167">
        <f t="shared" si="132"/>
        <v>100000</v>
      </c>
      <c r="H170" s="167">
        <f t="shared" si="132"/>
        <v>720000</v>
      </c>
      <c r="I170" s="167">
        <f t="shared" si="132"/>
        <v>406747.04000000004</v>
      </c>
      <c r="J170" s="216">
        <f t="shared" si="119"/>
        <v>-313252.95999999996</v>
      </c>
      <c r="K170" s="216"/>
      <c r="L170" s="167">
        <f t="shared" si="133"/>
        <v>406747.04000000004</v>
      </c>
    </row>
    <row r="171" spans="1:12" ht="20.25" customHeight="1" outlineLevel="1">
      <c r="A171" s="164" t="s">
        <v>15</v>
      </c>
      <c r="B171" s="163" t="s">
        <v>504</v>
      </c>
      <c r="C171" s="163" t="s">
        <v>44</v>
      </c>
      <c r="D171" s="163" t="s">
        <v>133</v>
      </c>
      <c r="E171" s="169" t="s">
        <v>16</v>
      </c>
      <c r="F171" s="167">
        <f>F172</f>
        <v>11945348.800000001</v>
      </c>
      <c r="G171" s="167">
        <f t="shared" si="132"/>
        <v>100000</v>
      </c>
      <c r="H171" s="167">
        <f t="shared" si="132"/>
        <v>720000</v>
      </c>
      <c r="I171" s="167">
        <f t="shared" si="132"/>
        <v>406747.04000000004</v>
      </c>
      <c r="J171" s="216">
        <f t="shared" si="119"/>
        <v>-313252.95999999996</v>
      </c>
      <c r="K171" s="216"/>
      <c r="L171" s="167">
        <f t="shared" si="133"/>
        <v>406747.04000000004</v>
      </c>
    </row>
    <row r="172" spans="1:12" ht="54" outlineLevel="1">
      <c r="A172" s="164" t="s">
        <v>17</v>
      </c>
      <c r="B172" s="163" t="s">
        <v>504</v>
      </c>
      <c r="C172" s="163" t="s">
        <v>44</v>
      </c>
      <c r="D172" s="163" t="s">
        <v>133</v>
      </c>
      <c r="E172" s="169" t="s">
        <v>18</v>
      </c>
      <c r="F172" s="167">
        <v>11945348.800000001</v>
      </c>
      <c r="G172" s="167">
        <v>100000</v>
      </c>
      <c r="H172" s="167">
        <v>720000</v>
      </c>
      <c r="I172" s="182">
        <f>612547.04-100000-105800</f>
        <v>406747.04000000004</v>
      </c>
      <c r="J172" s="216">
        <f t="shared" si="119"/>
        <v>-313252.95999999996</v>
      </c>
      <c r="K172" s="216"/>
      <c r="L172" s="182">
        <f>612547.04-100000-105800</f>
        <v>406747.04000000004</v>
      </c>
    </row>
    <row r="173" spans="1:12" outlineLevel="1">
      <c r="A173" s="164" t="s">
        <v>508</v>
      </c>
      <c r="B173" s="163" t="s">
        <v>504</v>
      </c>
      <c r="C173" s="163" t="s">
        <v>509</v>
      </c>
      <c r="D173" s="163" t="s">
        <v>126</v>
      </c>
      <c r="E173" s="169" t="s">
        <v>6</v>
      </c>
      <c r="F173" s="167">
        <f>F174</f>
        <v>340000</v>
      </c>
      <c r="G173" s="167">
        <f t="shared" ref="G173:I176" si="134">G174</f>
        <v>340000</v>
      </c>
      <c r="H173" s="167">
        <f t="shared" si="134"/>
        <v>1085000</v>
      </c>
      <c r="I173" s="182">
        <f t="shared" si="134"/>
        <v>585000</v>
      </c>
      <c r="J173" s="216">
        <f t="shared" si="119"/>
        <v>-500000</v>
      </c>
      <c r="K173" s="216"/>
      <c r="L173" s="182">
        <f t="shared" ref="L173:L176" si="135">L174</f>
        <v>585000</v>
      </c>
    </row>
    <row r="174" spans="1:12" ht="36" outlineLevel="1">
      <c r="A174" s="164" t="s">
        <v>132</v>
      </c>
      <c r="B174" s="163" t="s">
        <v>504</v>
      </c>
      <c r="C174" s="163" t="s">
        <v>509</v>
      </c>
      <c r="D174" s="163" t="s">
        <v>127</v>
      </c>
      <c r="E174" s="169" t="s">
        <v>6</v>
      </c>
      <c r="F174" s="167">
        <f>F175</f>
        <v>340000</v>
      </c>
      <c r="G174" s="167">
        <f t="shared" si="134"/>
        <v>340000</v>
      </c>
      <c r="H174" s="167">
        <f t="shared" si="134"/>
        <v>1085000</v>
      </c>
      <c r="I174" s="182">
        <f t="shared" si="134"/>
        <v>585000</v>
      </c>
      <c r="J174" s="216">
        <f t="shared" si="119"/>
        <v>-500000</v>
      </c>
      <c r="K174" s="216"/>
      <c r="L174" s="182">
        <f t="shared" si="135"/>
        <v>585000</v>
      </c>
    </row>
    <row r="175" spans="1:12" ht="54" outlineLevel="1">
      <c r="A175" s="164" t="s">
        <v>510</v>
      </c>
      <c r="B175" s="163" t="s">
        <v>504</v>
      </c>
      <c r="C175" s="163" t="s">
        <v>509</v>
      </c>
      <c r="D175" s="163" t="s">
        <v>696</v>
      </c>
      <c r="E175" s="169" t="s">
        <v>6</v>
      </c>
      <c r="F175" s="167">
        <f>F176</f>
        <v>340000</v>
      </c>
      <c r="G175" s="167">
        <f t="shared" si="134"/>
        <v>340000</v>
      </c>
      <c r="H175" s="167">
        <f t="shared" si="134"/>
        <v>1085000</v>
      </c>
      <c r="I175" s="182">
        <f t="shared" si="134"/>
        <v>585000</v>
      </c>
      <c r="J175" s="216">
        <f t="shared" si="119"/>
        <v>-500000</v>
      </c>
      <c r="K175" s="216"/>
      <c r="L175" s="182">
        <f t="shared" si="135"/>
        <v>585000</v>
      </c>
    </row>
    <row r="176" spans="1:12" ht="36" outlineLevel="1">
      <c r="A176" s="164" t="s">
        <v>15</v>
      </c>
      <c r="B176" s="163" t="s">
        <v>504</v>
      </c>
      <c r="C176" s="163" t="s">
        <v>509</v>
      </c>
      <c r="D176" s="163" t="s">
        <v>696</v>
      </c>
      <c r="E176" s="169" t="s">
        <v>16</v>
      </c>
      <c r="F176" s="167">
        <f>F177</f>
        <v>340000</v>
      </c>
      <c r="G176" s="167">
        <f t="shared" si="134"/>
        <v>340000</v>
      </c>
      <c r="H176" s="167">
        <f t="shared" si="134"/>
        <v>1085000</v>
      </c>
      <c r="I176" s="182">
        <f t="shared" si="134"/>
        <v>585000</v>
      </c>
      <c r="J176" s="216">
        <f t="shared" si="119"/>
        <v>-500000</v>
      </c>
      <c r="K176" s="216"/>
      <c r="L176" s="182">
        <f t="shared" si="135"/>
        <v>585000</v>
      </c>
    </row>
    <row r="177" spans="1:12" ht="54" outlineLevel="1">
      <c r="A177" s="164" t="s">
        <v>17</v>
      </c>
      <c r="B177" s="163" t="s">
        <v>504</v>
      </c>
      <c r="C177" s="163" t="s">
        <v>509</v>
      </c>
      <c r="D177" s="163" t="s">
        <v>696</v>
      </c>
      <c r="E177" s="169" t="s">
        <v>18</v>
      </c>
      <c r="F177" s="167">
        <v>340000</v>
      </c>
      <c r="G177" s="167">
        <v>340000</v>
      </c>
      <c r="H177" s="167">
        <v>1085000</v>
      </c>
      <c r="I177" s="182">
        <f>1085000-500000</f>
        <v>585000</v>
      </c>
      <c r="J177" s="216">
        <f t="shared" si="119"/>
        <v>-500000</v>
      </c>
      <c r="K177" s="216"/>
      <c r="L177" s="182">
        <f>1085000-500000</f>
        <v>585000</v>
      </c>
    </row>
    <row r="178" spans="1:12" outlineLevel="1">
      <c r="A178" s="196" t="s">
        <v>119</v>
      </c>
      <c r="B178" s="197" t="s">
        <v>504</v>
      </c>
      <c r="C178" s="197" t="s">
        <v>46</v>
      </c>
      <c r="D178" s="197" t="s">
        <v>126</v>
      </c>
      <c r="E178" s="198" t="s">
        <v>6</v>
      </c>
      <c r="F178" s="171">
        <f>F196+F185+F208+F179</f>
        <v>48019062.059999995</v>
      </c>
      <c r="G178" s="171">
        <f t="shared" ref="G178:H178" si="136">G196+G185+G208+G179</f>
        <v>12961514.17</v>
      </c>
      <c r="H178" s="171">
        <f t="shared" si="136"/>
        <v>16011114.17</v>
      </c>
      <c r="I178" s="171">
        <f>I196+I185+I208+I179</f>
        <v>13211114.17</v>
      </c>
      <c r="J178" s="216">
        <f t="shared" si="119"/>
        <v>-2800000</v>
      </c>
      <c r="K178" s="216"/>
      <c r="L178" s="171">
        <f>L196+L185+L208+L179</f>
        <v>37422264.170000002</v>
      </c>
    </row>
    <row r="179" spans="1:12" outlineLevel="1">
      <c r="A179" s="164" t="s">
        <v>121</v>
      </c>
      <c r="B179" s="163" t="s">
        <v>504</v>
      </c>
      <c r="C179" s="163" t="s">
        <v>122</v>
      </c>
      <c r="D179" s="163" t="s">
        <v>126</v>
      </c>
      <c r="E179" s="169" t="s">
        <v>6</v>
      </c>
      <c r="F179" s="167">
        <f>F180</f>
        <v>324127.09000000003</v>
      </c>
      <c r="G179" s="167">
        <f t="shared" ref="G179:I179" si="137">G180</f>
        <v>324127.09000000003</v>
      </c>
      <c r="H179" s="167">
        <f t="shared" si="137"/>
        <v>324127.09000000003</v>
      </c>
      <c r="I179" s="182">
        <f t="shared" si="137"/>
        <v>324127.09000000003</v>
      </c>
      <c r="J179" s="216">
        <f t="shared" si="119"/>
        <v>0</v>
      </c>
      <c r="K179" s="216"/>
      <c r="L179" s="182">
        <f t="shared" ref="L179" si="138">L180</f>
        <v>324127.09000000003</v>
      </c>
    </row>
    <row r="180" spans="1:12" ht="54" outlineLevel="1">
      <c r="A180" s="196" t="s">
        <v>132</v>
      </c>
      <c r="B180" s="163" t="s">
        <v>504</v>
      </c>
      <c r="C180" s="197" t="s">
        <v>122</v>
      </c>
      <c r="D180" s="197" t="s">
        <v>127</v>
      </c>
      <c r="E180" s="198" t="s">
        <v>6</v>
      </c>
      <c r="F180" s="167">
        <f>F182</f>
        <v>324127.09000000003</v>
      </c>
      <c r="G180" s="171">
        <f t="shared" ref="G180:H180" si="139">G182</f>
        <v>324127.09000000003</v>
      </c>
      <c r="H180" s="171">
        <f t="shared" si="139"/>
        <v>324127.09000000003</v>
      </c>
      <c r="I180" s="199">
        <f t="shared" ref="I180" si="140">I182</f>
        <v>324127.09000000003</v>
      </c>
      <c r="J180" s="216">
        <f t="shared" si="119"/>
        <v>0</v>
      </c>
      <c r="K180" s="216"/>
      <c r="L180" s="199">
        <f t="shared" ref="L180" si="141">L182</f>
        <v>324127.09000000003</v>
      </c>
    </row>
    <row r="181" spans="1:12" ht="36" outlineLevel="1">
      <c r="A181" s="164" t="s">
        <v>277</v>
      </c>
      <c r="B181" s="163" t="s">
        <v>504</v>
      </c>
      <c r="C181" s="163" t="s">
        <v>122</v>
      </c>
      <c r="D181" s="163" t="s">
        <v>276</v>
      </c>
      <c r="E181" s="169" t="s">
        <v>6</v>
      </c>
      <c r="F181" s="167">
        <f>F182</f>
        <v>324127.09000000003</v>
      </c>
      <c r="G181" s="167">
        <f t="shared" ref="G181:I183" si="142">G182</f>
        <v>324127.09000000003</v>
      </c>
      <c r="H181" s="167">
        <f t="shared" si="142"/>
        <v>324127.09000000003</v>
      </c>
      <c r="I181" s="182">
        <f t="shared" si="142"/>
        <v>324127.09000000003</v>
      </c>
      <c r="J181" s="216">
        <f t="shared" si="119"/>
        <v>0</v>
      </c>
      <c r="K181" s="216"/>
      <c r="L181" s="182">
        <f t="shared" ref="L181:L183" si="143">L182</f>
        <v>324127.09000000003</v>
      </c>
    </row>
    <row r="182" spans="1:12" ht="144" outlineLevel="1">
      <c r="A182" s="200" t="s">
        <v>383</v>
      </c>
      <c r="B182" s="163" t="s">
        <v>504</v>
      </c>
      <c r="C182" s="163" t="s">
        <v>122</v>
      </c>
      <c r="D182" s="163" t="s">
        <v>286</v>
      </c>
      <c r="E182" s="169" t="s">
        <v>6</v>
      </c>
      <c r="F182" s="167">
        <f>F183</f>
        <v>324127.09000000003</v>
      </c>
      <c r="G182" s="167">
        <f t="shared" si="142"/>
        <v>324127.09000000003</v>
      </c>
      <c r="H182" s="167">
        <f t="shared" si="142"/>
        <v>324127.09000000003</v>
      </c>
      <c r="I182" s="182">
        <f t="shared" si="142"/>
        <v>324127.09000000003</v>
      </c>
      <c r="J182" s="216">
        <f t="shared" si="119"/>
        <v>0</v>
      </c>
      <c r="K182" s="216"/>
      <c r="L182" s="182">
        <f t="shared" si="143"/>
        <v>324127.09000000003</v>
      </c>
    </row>
    <row r="183" spans="1:12" ht="21.15" customHeight="1" outlineLevel="1">
      <c r="A183" s="164" t="s">
        <v>15</v>
      </c>
      <c r="B183" s="163" t="s">
        <v>504</v>
      </c>
      <c r="C183" s="163" t="s">
        <v>122</v>
      </c>
      <c r="D183" s="163" t="s">
        <v>286</v>
      </c>
      <c r="E183" s="169" t="s">
        <v>16</v>
      </c>
      <c r="F183" s="167">
        <f>F184</f>
        <v>324127.09000000003</v>
      </c>
      <c r="G183" s="167">
        <f t="shared" si="142"/>
        <v>324127.09000000003</v>
      </c>
      <c r="H183" s="167">
        <f t="shared" si="142"/>
        <v>324127.09000000003</v>
      </c>
      <c r="I183" s="182">
        <f t="shared" si="142"/>
        <v>324127.09000000003</v>
      </c>
      <c r="J183" s="216">
        <f t="shared" si="119"/>
        <v>0</v>
      </c>
      <c r="K183" s="216"/>
      <c r="L183" s="182">
        <f t="shared" si="143"/>
        <v>324127.09000000003</v>
      </c>
    </row>
    <row r="184" spans="1:12" ht="54" outlineLevel="1">
      <c r="A184" s="164" t="s">
        <v>17</v>
      </c>
      <c r="B184" s="163" t="s">
        <v>504</v>
      </c>
      <c r="C184" s="163" t="s">
        <v>122</v>
      </c>
      <c r="D184" s="163" t="s">
        <v>286</v>
      </c>
      <c r="E184" s="169" t="s">
        <v>18</v>
      </c>
      <c r="F184" s="167">
        <v>324127.09000000003</v>
      </c>
      <c r="G184" s="167">
        <v>324127.09000000003</v>
      </c>
      <c r="H184" s="167">
        <v>324127.09000000003</v>
      </c>
      <c r="I184" s="182">
        <v>324127.09000000003</v>
      </c>
      <c r="J184" s="216">
        <f t="shared" si="119"/>
        <v>0</v>
      </c>
      <c r="K184" s="216"/>
      <c r="L184" s="182">
        <v>324127.09000000003</v>
      </c>
    </row>
    <row r="185" spans="1:12" outlineLevel="1">
      <c r="A185" s="164" t="s">
        <v>290</v>
      </c>
      <c r="B185" s="163" t="s">
        <v>504</v>
      </c>
      <c r="C185" s="163" t="s">
        <v>291</v>
      </c>
      <c r="D185" s="163" t="s">
        <v>126</v>
      </c>
      <c r="E185" s="169" t="s">
        <v>6</v>
      </c>
      <c r="F185" s="167">
        <f>F186+F193</f>
        <v>3387.08</v>
      </c>
      <c r="G185" s="167">
        <f t="shared" ref="G185:I185" si="144">G186+G193</f>
        <v>3387.08</v>
      </c>
      <c r="H185" s="167">
        <f t="shared" si="144"/>
        <v>3387.08</v>
      </c>
      <c r="I185" s="167">
        <f t="shared" si="144"/>
        <v>103387.08</v>
      </c>
      <c r="J185" s="216">
        <f t="shared" si="119"/>
        <v>100000</v>
      </c>
      <c r="K185" s="216"/>
      <c r="L185" s="167">
        <f t="shared" ref="L185" si="145">L186+L193</f>
        <v>103387.08</v>
      </c>
    </row>
    <row r="186" spans="1:12" ht="36" outlineLevel="1">
      <c r="A186" s="164" t="s">
        <v>132</v>
      </c>
      <c r="B186" s="163" t="s">
        <v>504</v>
      </c>
      <c r="C186" s="163" t="s">
        <v>291</v>
      </c>
      <c r="D186" s="163" t="s">
        <v>127</v>
      </c>
      <c r="E186" s="169" t="s">
        <v>6</v>
      </c>
      <c r="F186" s="167">
        <f>F188</f>
        <v>3387.08</v>
      </c>
      <c r="G186" s="167">
        <f>G188</f>
        <v>3387.08</v>
      </c>
      <c r="H186" s="167">
        <f>H188</f>
        <v>3387.08</v>
      </c>
      <c r="I186" s="182">
        <f>I188</f>
        <v>3387.08</v>
      </c>
      <c r="J186" s="216">
        <f t="shared" si="119"/>
        <v>0</v>
      </c>
      <c r="K186" s="216"/>
      <c r="L186" s="182">
        <f>L188</f>
        <v>3387.08</v>
      </c>
    </row>
    <row r="187" spans="1:12" ht="36" outlineLevel="1">
      <c r="A187" s="164" t="s">
        <v>277</v>
      </c>
      <c r="B187" s="163" t="s">
        <v>504</v>
      </c>
      <c r="C187" s="163" t="s">
        <v>291</v>
      </c>
      <c r="D187" s="163" t="s">
        <v>276</v>
      </c>
      <c r="E187" s="169" t="s">
        <v>6</v>
      </c>
      <c r="F187" s="167">
        <f>F188</f>
        <v>3387.08</v>
      </c>
      <c r="G187" s="167">
        <f>G188</f>
        <v>3387.08</v>
      </c>
      <c r="H187" s="167">
        <f>H188</f>
        <v>3387.08</v>
      </c>
      <c r="I187" s="182">
        <f>I188</f>
        <v>3387.08</v>
      </c>
      <c r="J187" s="216">
        <f t="shared" si="119"/>
        <v>0</v>
      </c>
      <c r="K187" s="216"/>
      <c r="L187" s="182">
        <f>L188</f>
        <v>3387.08</v>
      </c>
    </row>
    <row r="188" spans="1:12" ht="93.75" customHeight="1" outlineLevel="1">
      <c r="A188" s="187" t="s">
        <v>385</v>
      </c>
      <c r="B188" s="163" t="s">
        <v>504</v>
      </c>
      <c r="C188" s="163" t="s">
        <v>291</v>
      </c>
      <c r="D188" s="163" t="s">
        <v>384</v>
      </c>
      <c r="E188" s="169" t="s">
        <v>6</v>
      </c>
      <c r="F188" s="167">
        <f>F189</f>
        <v>3387.08</v>
      </c>
      <c r="G188" s="167">
        <f t="shared" ref="G188:I189" si="146">G189</f>
        <v>3387.08</v>
      </c>
      <c r="H188" s="167">
        <f t="shared" si="146"/>
        <v>3387.08</v>
      </c>
      <c r="I188" s="182">
        <f t="shared" si="146"/>
        <v>3387.08</v>
      </c>
      <c r="J188" s="216">
        <f t="shared" si="119"/>
        <v>0</v>
      </c>
      <c r="K188" s="216"/>
      <c r="L188" s="182">
        <f t="shared" ref="L188:L189" si="147">L189</f>
        <v>3387.08</v>
      </c>
    </row>
    <row r="189" spans="1:12" ht="19.5" customHeight="1" outlineLevel="1">
      <c r="A189" s="164" t="s">
        <v>15</v>
      </c>
      <c r="B189" s="163" t="s">
        <v>504</v>
      </c>
      <c r="C189" s="163" t="s">
        <v>291</v>
      </c>
      <c r="D189" s="163" t="s">
        <v>384</v>
      </c>
      <c r="E189" s="169" t="s">
        <v>16</v>
      </c>
      <c r="F189" s="167">
        <f>F190</f>
        <v>3387.08</v>
      </c>
      <c r="G189" s="167">
        <f t="shared" si="146"/>
        <v>3387.08</v>
      </c>
      <c r="H189" s="167">
        <f t="shared" si="146"/>
        <v>3387.08</v>
      </c>
      <c r="I189" s="182">
        <f t="shared" si="146"/>
        <v>3387.08</v>
      </c>
      <c r="J189" s="216">
        <f t="shared" si="119"/>
        <v>0</v>
      </c>
      <c r="K189" s="216"/>
      <c r="L189" s="182">
        <f t="shared" si="147"/>
        <v>3387.08</v>
      </c>
    </row>
    <row r="190" spans="1:12" ht="54" outlineLevel="1">
      <c r="A190" s="164" t="s">
        <v>17</v>
      </c>
      <c r="B190" s="163" t="s">
        <v>504</v>
      </c>
      <c r="C190" s="163" t="s">
        <v>291</v>
      </c>
      <c r="D190" s="163" t="s">
        <v>384</v>
      </c>
      <c r="E190" s="169" t="s">
        <v>18</v>
      </c>
      <c r="F190" s="167">
        <v>3387.08</v>
      </c>
      <c r="G190" s="167">
        <v>3387.08</v>
      </c>
      <c r="H190" s="218">
        <v>3387.08</v>
      </c>
      <c r="I190" s="204">
        <v>3387.08</v>
      </c>
      <c r="J190" s="216">
        <f t="shared" si="119"/>
        <v>0</v>
      </c>
      <c r="K190" s="216"/>
      <c r="L190" s="204">
        <v>3387.08</v>
      </c>
    </row>
    <row r="191" spans="1:12" ht="72" outlineLevel="1">
      <c r="A191" s="196" t="s">
        <v>440</v>
      </c>
      <c r="B191" s="163" t="s">
        <v>504</v>
      </c>
      <c r="C191" s="163" t="s">
        <v>291</v>
      </c>
      <c r="D191" s="232" t="s">
        <v>129</v>
      </c>
      <c r="E191" s="169" t="s">
        <v>6</v>
      </c>
      <c r="F191" s="167">
        <f>F192</f>
        <v>0</v>
      </c>
      <c r="G191" s="167">
        <f t="shared" ref="G191:I192" si="148">G192</f>
        <v>0</v>
      </c>
      <c r="H191" s="167">
        <f t="shared" si="148"/>
        <v>0</v>
      </c>
      <c r="I191" s="167">
        <f t="shared" si="148"/>
        <v>100000</v>
      </c>
      <c r="J191" s="216">
        <f t="shared" si="119"/>
        <v>100000</v>
      </c>
      <c r="K191" s="216"/>
      <c r="L191" s="167">
        <f t="shared" ref="L191:L194" si="149">L192</f>
        <v>100000</v>
      </c>
    </row>
    <row r="192" spans="1:12" ht="36" outlineLevel="1">
      <c r="A192" s="231" t="s">
        <v>794</v>
      </c>
      <c r="B192" s="163" t="s">
        <v>504</v>
      </c>
      <c r="C192" s="163" t="s">
        <v>291</v>
      </c>
      <c r="D192" s="232" t="s">
        <v>806</v>
      </c>
      <c r="E192" s="169" t="s">
        <v>6</v>
      </c>
      <c r="F192" s="167">
        <f>F193</f>
        <v>0</v>
      </c>
      <c r="G192" s="167">
        <f t="shared" si="148"/>
        <v>0</v>
      </c>
      <c r="H192" s="167">
        <f t="shared" si="148"/>
        <v>0</v>
      </c>
      <c r="I192" s="167">
        <f t="shared" si="148"/>
        <v>100000</v>
      </c>
      <c r="J192" s="216">
        <f t="shared" si="119"/>
        <v>100000</v>
      </c>
      <c r="K192" s="216"/>
      <c r="L192" s="167">
        <f t="shared" si="149"/>
        <v>100000</v>
      </c>
    </row>
    <row r="193" spans="1:12" ht="42" customHeight="1" outlineLevel="1">
      <c r="A193" s="231" t="s">
        <v>807</v>
      </c>
      <c r="B193" s="163" t="s">
        <v>504</v>
      </c>
      <c r="C193" s="163" t="s">
        <v>291</v>
      </c>
      <c r="D193" s="232" t="s">
        <v>804</v>
      </c>
      <c r="E193" s="169" t="s">
        <v>6</v>
      </c>
      <c r="F193" s="167">
        <f>F194</f>
        <v>0</v>
      </c>
      <c r="G193" s="167">
        <f t="shared" ref="G193:I194" si="150">G194</f>
        <v>0</v>
      </c>
      <c r="H193" s="167">
        <f t="shared" si="150"/>
        <v>0</v>
      </c>
      <c r="I193" s="167">
        <f t="shared" si="150"/>
        <v>100000</v>
      </c>
      <c r="J193" s="216">
        <f t="shared" si="119"/>
        <v>100000</v>
      </c>
      <c r="K193" s="216"/>
      <c r="L193" s="167">
        <f t="shared" si="149"/>
        <v>100000</v>
      </c>
    </row>
    <row r="194" spans="1:12" ht="54" outlineLevel="1">
      <c r="A194" s="230" t="s">
        <v>793</v>
      </c>
      <c r="B194" s="163" t="s">
        <v>504</v>
      </c>
      <c r="C194" s="163" t="s">
        <v>291</v>
      </c>
      <c r="D194" s="232" t="s">
        <v>805</v>
      </c>
      <c r="E194" s="169" t="s">
        <v>20</v>
      </c>
      <c r="F194" s="167">
        <f>F195</f>
        <v>0</v>
      </c>
      <c r="G194" s="167">
        <f t="shared" si="150"/>
        <v>0</v>
      </c>
      <c r="H194" s="167">
        <f t="shared" si="150"/>
        <v>0</v>
      </c>
      <c r="I194" s="167">
        <f t="shared" si="150"/>
        <v>100000</v>
      </c>
      <c r="J194" s="216">
        <f t="shared" si="119"/>
        <v>100000</v>
      </c>
      <c r="K194" s="216"/>
      <c r="L194" s="167">
        <f t="shared" si="149"/>
        <v>100000</v>
      </c>
    </row>
    <row r="195" spans="1:12" ht="72" outlineLevel="1">
      <c r="A195" s="164" t="s">
        <v>47</v>
      </c>
      <c r="B195" s="163" t="s">
        <v>504</v>
      </c>
      <c r="C195" s="163" t="s">
        <v>291</v>
      </c>
      <c r="D195" s="232" t="s">
        <v>805</v>
      </c>
      <c r="E195" s="169" t="s">
        <v>48</v>
      </c>
      <c r="F195" s="167"/>
      <c r="G195" s="167"/>
      <c r="H195" s="218"/>
      <c r="I195" s="204">
        <v>100000</v>
      </c>
      <c r="J195" s="216">
        <f t="shared" si="119"/>
        <v>100000</v>
      </c>
      <c r="K195" s="216"/>
      <c r="L195" s="204">
        <v>100000</v>
      </c>
    </row>
    <row r="196" spans="1:12" outlineLevel="1">
      <c r="A196" s="164" t="s">
        <v>49</v>
      </c>
      <c r="B196" s="163" t="s">
        <v>504</v>
      </c>
      <c r="C196" s="163" t="s">
        <v>50</v>
      </c>
      <c r="D196" s="163" t="s">
        <v>126</v>
      </c>
      <c r="E196" s="169" t="s">
        <v>6</v>
      </c>
      <c r="F196" s="167">
        <f>F197</f>
        <v>46731547.889999993</v>
      </c>
      <c r="G196" s="167">
        <f t="shared" ref="G196:I197" si="151">G197</f>
        <v>12014000</v>
      </c>
      <c r="H196" s="167">
        <f t="shared" si="151"/>
        <v>12340000</v>
      </c>
      <c r="I196" s="182">
        <f>I197</f>
        <v>12340000</v>
      </c>
      <c r="J196" s="216">
        <f t="shared" si="119"/>
        <v>0</v>
      </c>
      <c r="K196" s="216"/>
      <c r="L196" s="182">
        <f>L197</f>
        <v>36551150</v>
      </c>
    </row>
    <row r="197" spans="1:12" ht="90" outlineLevel="1">
      <c r="A197" s="196" t="s">
        <v>334</v>
      </c>
      <c r="B197" s="197" t="s">
        <v>504</v>
      </c>
      <c r="C197" s="197" t="s">
        <v>50</v>
      </c>
      <c r="D197" s="197" t="s">
        <v>335</v>
      </c>
      <c r="E197" s="198" t="s">
        <v>6</v>
      </c>
      <c r="F197" s="171">
        <f>F198</f>
        <v>46731547.889999993</v>
      </c>
      <c r="G197" s="171">
        <f t="shared" si="151"/>
        <v>12014000</v>
      </c>
      <c r="H197" s="171">
        <f t="shared" si="151"/>
        <v>12340000</v>
      </c>
      <c r="I197" s="199">
        <f t="shared" si="151"/>
        <v>12340000</v>
      </c>
      <c r="J197" s="216">
        <f t="shared" si="119"/>
        <v>0</v>
      </c>
      <c r="K197" s="216"/>
      <c r="L197" s="199">
        <f t="shared" ref="L197" si="152">L198</f>
        <v>36551150</v>
      </c>
    </row>
    <row r="198" spans="1:12" ht="36" outlineLevel="1">
      <c r="A198" s="164" t="s">
        <v>336</v>
      </c>
      <c r="B198" s="163" t="s">
        <v>504</v>
      </c>
      <c r="C198" s="163" t="s">
        <v>50</v>
      </c>
      <c r="D198" s="163" t="s">
        <v>337</v>
      </c>
      <c r="E198" s="169" t="s">
        <v>6</v>
      </c>
      <c r="F198" s="167">
        <f>F199+F202+F205</f>
        <v>46731547.889999993</v>
      </c>
      <c r="G198" s="167">
        <f>G199+G205</f>
        <v>12014000</v>
      </c>
      <c r="H198" s="167">
        <f>H199+H205</f>
        <v>12340000</v>
      </c>
      <c r="I198" s="182">
        <f>I199+I205</f>
        <v>12340000</v>
      </c>
      <c r="J198" s="216">
        <f t="shared" si="119"/>
        <v>0</v>
      </c>
      <c r="K198" s="216"/>
      <c r="L198" s="182">
        <f>L199+L205</f>
        <v>36551150</v>
      </c>
    </row>
    <row r="199" spans="1:12" ht="90" outlineLevel="1">
      <c r="A199" s="206" t="s">
        <v>815</v>
      </c>
      <c r="B199" s="163" t="s">
        <v>504</v>
      </c>
      <c r="C199" s="163" t="s">
        <v>50</v>
      </c>
      <c r="D199" s="163" t="s">
        <v>339</v>
      </c>
      <c r="E199" s="169" t="s">
        <v>6</v>
      </c>
      <c r="F199" s="167">
        <f>F200</f>
        <v>10649073.66</v>
      </c>
      <c r="G199" s="167">
        <f t="shared" ref="G199:I200" si="153">G200</f>
        <v>11914000</v>
      </c>
      <c r="H199" s="167">
        <f t="shared" si="153"/>
        <v>12030000</v>
      </c>
      <c r="I199" s="182">
        <f t="shared" si="153"/>
        <v>12030000</v>
      </c>
      <c r="J199" s="216">
        <f t="shared" si="119"/>
        <v>0</v>
      </c>
      <c r="K199" s="216"/>
      <c r="L199" s="182">
        <f t="shared" ref="L199:L200" si="154">L200</f>
        <v>36241150</v>
      </c>
    </row>
    <row r="200" spans="1:12" ht="21.15" customHeight="1" outlineLevel="1">
      <c r="A200" s="164" t="s">
        <v>15</v>
      </c>
      <c r="B200" s="163" t="s">
        <v>504</v>
      </c>
      <c r="C200" s="163" t="s">
        <v>50</v>
      </c>
      <c r="D200" s="163" t="s">
        <v>339</v>
      </c>
      <c r="E200" s="169" t="s">
        <v>16</v>
      </c>
      <c r="F200" s="167">
        <f>F201</f>
        <v>10649073.66</v>
      </c>
      <c r="G200" s="167">
        <f t="shared" si="153"/>
        <v>11914000</v>
      </c>
      <c r="H200" s="167">
        <f t="shared" si="153"/>
        <v>12030000</v>
      </c>
      <c r="I200" s="182">
        <f t="shared" si="153"/>
        <v>12030000</v>
      </c>
      <c r="J200" s="216">
        <f t="shared" si="119"/>
        <v>0</v>
      </c>
      <c r="K200" s="216"/>
      <c r="L200" s="182">
        <f t="shared" si="154"/>
        <v>36241150</v>
      </c>
    </row>
    <row r="201" spans="1:12" ht="54" outlineLevel="1">
      <c r="A201" s="164" t="s">
        <v>17</v>
      </c>
      <c r="B201" s="163" t="s">
        <v>504</v>
      </c>
      <c r="C201" s="163" t="s">
        <v>50</v>
      </c>
      <c r="D201" s="163" t="s">
        <v>339</v>
      </c>
      <c r="E201" s="169" t="s">
        <v>18</v>
      </c>
      <c r="F201" s="167">
        <f>11431547.89-473195.88-309278.35</f>
        <v>10649073.66</v>
      </c>
      <c r="G201" s="167">
        <f>12488000-574000</f>
        <v>11914000</v>
      </c>
      <c r="H201" s="167">
        <f>12030000</f>
        <v>12030000</v>
      </c>
      <c r="I201" s="182">
        <v>12030000</v>
      </c>
      <c r="J201" s="216">
        <f t="shared" si="119"/>
        <v>0</v>
      </c>
      <c r="K201" s="216">
        <v>24211150</v>
      </c>
      <c r="L201" s="182">
        <f>12030000+24211150</f>
        <v>36241150</v>
      </c>
    </row>
    <row r="202" spans="1:12" ht="108" outlineLevel="1">
      <c r="A202" s="164" t="s">
        <v>571</v>
      </c>
      <c r="B202" s="163" t="s">
        <v>504</v>
      </c>
      <c r="C202" s="163" t="s">
        <v>50</v>
      </c>
      <c r="D202" s="163" t="s">
        <v>597</v>
      </c>
      <c r="E202" s="163" t="s">
        <v>6</v>
      </c>
      <c r="F202" s="167">
        <f>F203</f>
        <v>35000000</v>
      </c>
      <c r="G202" s="167">
        <f>G203</f>
        <v>0</v>
      </c>
      <c r="H202" s="167">
        <f t="shared" ref="H202:I203" si="155">H203</f>
        <v>0</v>
      </c>
      <c r="I202" s="182">
        <f t="shared" si="155"/>
        <v>0</v>
      </c>
      <c r="J202" s="216">
        <f t="shared" si="119"/>
        <v>0</v>
      </c>
      <c r="K202" s="216"/>
      <c r="L202" s="182">
        <f t="shared" ref="L202:L203" si="156">L203</f>
        <v>0</v>
      </c>
    </row>
    <row r="203" spans="1:12" ht="36" outlineLevel="1">
      <c r="A203" s="164" t="s">
        <v>15</v>
      </c>
      <c r="B203" s="163" t="s">
        <v>504</v>
      </c>
      <c r="C203" s="163" t="s">
        <v>50</v>
      </c>
      <c r="D203" s="163" t="s">
        <v>597</v>
      </c>
      <c r="E203" s="163" t="s">
        <v>16</v>
      </c>
      <c r="F203" s="167">
        <f>F204</f>
        <v>35000000</v>
      </c>
      <c r="G203" s="167">
        <f>G204</f>
        <v>0</v>
      </c>
      <c r="H203" s="167">
        <f t="shared" si="155"/>
        <v>0</v>
      </c>
      <c r="I203" s="182">
        <f t="shared" si="155"/>
        <v>0</v>
      </c>
      <c r="J203" s="216">
        <f t="shared" si="119"/>
        <v>0</v>
      </c>
      <c r="K203" s="216"/>
      <c r="L203" s="182">
        <f t="shared" si="156"/>
        <v>0</v>
      </c>
    </row>
    <row r="204" spans="1:12" ht="54" outlineLevel="1">
      <c r="A204" s="164" t="s">
        <v>17</v>
      </c>
      <c r="B204" s="163" t="s">
        <v>504</v>
      </c>
      <c r="C204" s="163" t="s">
        <v>50</v>
      </c>
      <c r="D204" s="163" t="s">
        <v>597</v>
      </c>
      <c r="E204" s="163" t="s">
        <v>18</v>
      </c>
      <c r="F204" s="167">
        <v>35000000</v>
      </c>
      <c r="G204" s="167"/>
      <c r="H204" s="167"/>
      <c r="I204" s="182"/>
      <c r="J204" s="216">
        <f t="shared" si="119"/>
        <v>0</v>
      </c>
      <c r="K204" s="216"/>
      <c r="L204" s="182"/>
    </row>
    <row r="205" spans="1:12" ht="72" outlineLevel="1">
      <c r="A205" s="164" t="s">
        <v>280</v>
      </c>
      <c r="B205" s="163" t="s">
        <v>504</v>
      </c>
      <c r="C205" s="163" t="s">
        <v>50</v>
      </c>
      <c r="D205" s="163" t="s">
        <v>409</v>
      </c>
      <c r="E205" s="169" t="s">
        <v>6</v>
      </c>
      <c r="F205" s="184">
        <f>F206</f>
        <v>1082474.23</v>
      </c>
      <c r="G205" s="184">
        <f t="shared" ref="G205:I206" si="157">G206</f>
        <v>100000</v>
      </c>
      <c r="H205" s="184">
        <f t="shared" si="157"/>
        <v>310000</v>
      </c>
      <c r="I205" s="195">
        <f t="shared" si="157"/>
        <v>310000</v>
      </c>
      <c r="J205" s="216">
        <f t="shared" si="119"/>
        <v>0</v>
      </c>
      <c r="K205" s="216"/>
      <c r="L205" s="195">
        <f t="shared" ref="L205:L206" si="158">L206</f>
        <v>310000</v>
      </c>
    </row>
    <row r="206" spans="1:12" ht="20.25" customHeight="1" outlineLevel="1">
      <c r="A206" s="164" t="s">
        <v>15</v>
      </c>
      <c r="B206" s="163" t="s">
        <v>504</v>
      </c>
      <c r="C206" s="163" t="s">
        <v>50</v>
      </c>
      <c r="D206" s="163" t="s">
        <v>409</v>
      </c>
      <c r="E206" s="169" t="s">
        <v>16</v>
      </c>
      <c r="F206" s="184">
        <f>F207</f>
        <v>1082474.23</v>
      </c>
      <c r="G206" s="184">
        <f t="shared" si="157"/>
        <v>100000</v>
      </c>
      <c r="H206" s="184">
        <f t="shared" si="157"/>
        <v>310000</v>
      </c>
      <c r="I206" s="195">
        <f t="shared" si="157"/>
        <v>310000</v>
      </c>
      <c r="J206" s="216">
        <f t="shared" si="119"/>
        <v>0</v>
      </c>
      <c r="K206" s="216"/>
      <c r="L206" s="195">
        <f t="shared" si="158"/>
        <v>310000</v>
      </c>
    </row>
    <row r="207" spans="1:12" ht="54" outlineLevel="1">
      <c r="A207" s="164" t="s">
        <v>17</v>
      </c>
      <c r="B207" s="163" t="s">
        <v>504</v>
      </c>
      <c r="C207" s="163" t="s">
        <v>50</v>
      </c>
      <c r="D207" s="163" t="s">
        <v>409</v>
      </c>
      <c r="E207" s="169" t="s">
        <v>18</v>
      </c>
      <c r="F207" s="167">
        <f>300000+473195.88+309278.35</f>
        <v>1082474.23</v>
      </c>
      <c r="G207" s="167">
        <v>100000</v>
      </c>
      <c r="H207" s="167">
        <v>310000</v>
      </c>
      <c r="I207" s="182">
        <v>310000</v>
      </c>
      <c r="J207" s="216">
        <f t="shared" si="119"/>
        <v>0</v>
      </c>
      <c r="K207" s="216"/>
      <c r="L207" s="182">
        <v>310000</v>
      </c>
    </row>
    <row r="208" spans="1:12" ht="36" outlineLevel="1">
      <c r="A208" s="164" t="s">
        <v>52</v>
      </c>
      <c r="B208" s="163" t="s">
        <v>504</v>
      </c>
      <c r="C208" s="163" t="s">
        <v>53</v>
      </c>
      <c r="D208" s="163" t="s">
        <v>126</v>
      </c>
      <c r="E208" s="169" t="s">
        <v>6</v>
      </c>
      <c r="F208" s="167">
        <f>F218+F209+F213</f>
        <v>960000</v>
      </c>
      <c r="G208" s="167">
        <f t="shared" ref="G208:H208" si="159">G218+G209+G213</f>
        <v>620000</v>
      </c>
      <c r="H208" s="167">
        <f t="shared" si="159"/>
        <v>3343600</v>
      </c>
      <c r="I208" s="167">
        <f>I218+I209+I213</f>
        <v>443600</v>
      </c>
      <c r="J208" s="216">
        <f t="shared" si="119"/>
        <v>-2900000</v>
      </c>
      <c r="K208" s="216"/>
      <c r="L208" s="167">
        <f>L218+L209+L213</f>
        <v>443600</v>
      </c>
    </row>
    <row r="209" spans="1:12" ht="36" outlineLevel="1">
      <c r="A209" s="164" t="s">
        <v>132</v>
      </c>
      <c r="B209" s="163" t="s">
        <v>504</v>
      </c>
      <c r="C209" s="163" t="s">
        <v>53</v>
      </c>
      <c r="D209" s="163" t="s">
        <v>127</v>
      </c>
      <c r="E209" s="163" t="s">
        <v>6</v>
      </c>
      <c r="F209" s="167">
        <f t="shared" ref="F209:G211" si="160">F210</f>
        <v>290000</v>
      </c>
      <c r="G209" s="167">
        <f t="shared" si="160"/>
        <v>0</v>
      </c>
      <c r="H209" s="167">
        <f t="shared" ref="H209:I211" si="161">H210</f>
        <v>0</v>
      </c>
      <c r="I209" s="182">
        <f t="shared" si="161"/>
        <v>0</v>
      </c>
      <c r="J209" s="216">
        <f t="shared" si="119"/>
        <v>0</v>
      </c>
      <c r="K209" s="216"/>
      <c r="L209" s="182">
        <f t="shared" ref="L209:L211" si="162">L210</f>
        <v>0</v>
      </c>
    </row>
    <row r="210" spans="1:12" ht="90" outlineLevel="1">
      <c r="A210" s="164" t="s">
        <v>695</v>
      </c>
      <c r="B210" s="163" t="s">
        <v>504</v>
      </c>
      <c r="C210" s="163" t="s">
        <v>53</v>
      </c>
      <c r="D210" s="163" t="s">
        <v>694</v>
      </c>
      <c r="E210" s="163" t="s">
        <v>6</v>
      </c>
      <c r="F210" s="167">
        <f t="shared" si="160"/>
        <v>290000</v>
      </c>
      <c r="G210" s="167">
        <f t="shared" si="160"/>
        <v>0</v>
      </c>
      <c r="H210" s="167">
        <f t="shared" si="161"/>
        <v>0</v>
      </c>
      <c r="I210" s="182">
        <f t="shared" si="161"/>
        <v>0</v>
      </c>
      <c r="J210" s="216">
        <f t="shared" si="119"/>
        <v>0</v>
      </c>
      <c r="K210" s="216"/>
      <c r="L210" s="182">
        <f t="shared" si="162"/>
        <v>0</v>
      </c>
    </row>
    <row r="211" spans="1:12" ht="36" outlineLevel="1">
      <c r="A211" s="164" t="s">
        <v>15</v>
      </c>
      <c r="B211" s="163" t="s">
        <v>504</v>
      </c>
      <c r="C211" s="163" t="s">
        <v>53</v>
      </c>
      <c r="D211" s="163" t="s">
        <v>694</v>
      </c>
      <c r="E211" s="163" t="s">
        <v>16</v>
      </c>
      <c r="F211" s="167">
        <f t="shared" si="160"/>
        <v>290000</v>
      </c>
      <c r="G211" s="167">
        <f t="shared" si="160"/>
        <v>0</v>
      </c>
      <c r="H211" s="167">
        <f t="shared" si="161"/>
        <v>0</v>
      </c>
      <c r="I211" s="182">
        <f t="shared" si="161"/>
        <v>0</v>
      </c>
      <c r="J211" s="216">
        <f t="shared" si="119"/>
        <v>0</v>
      </c>
      <c r="K211" s="216"/>
      <c r="L211" s="182">
        <f t="shared" si="162"/>
        <v>0</v>
      </c>
    </row>
    <row r="212" spans="1:12" ht="54" outlineLevel="1">
      <c r="A212" s="164" t="s">
        <v>17</v>
      </c>
      <c r="B212" s="163" t="s">
        <v>504</v>
      </c>
      <c r="C212" s="163" t="s">
        <v>53</v>
      </c>
      <c r="D212" s="163" t="s">
        <v>694</v>
      </c>
      <c r="E212" s="163" t="s">
        <v>18</v>
      </c>
      <c r="F212" s="167">
        <v>290000</v>
      </c>
      <c r="G212" s="167">
        <v>0</v>
      </c>
      <c r="H212" s="167">
        <v>0</v>
      </c>
      <c r="I212" s="182">
        <v>0</v>
      </c>
      <c r="J212" s="216">
        <f t="shared" ref="J212:J283" si="163">I212-H212</f>
        <v>0</v>
      </c>
      <c r="K212" s="216"/>
      <c r="L212" s="182">
        <v>0</v>
      </c>
    </row>
    <row r="213" spans="1:12" ht="72" outlineLevel="1">
      <c r="A213" s="75" t="s">
        <v>800</v>
      </c>
      <c r="B213" s="61" t="s">
        <v>504</v>
      </c>
      <c r="C213" s="61" t="s">
        <v>53</v>
      </c>
      <c r="D213" s="61" t="s">
        <v>412</v>
      </c>
      <c r="E213" s="61" t="s">
        <v>6</v>
      </c>
      <c r="F213" s="167">
        <f>F214</f>
        <v>50000</v>
      </c>
      <c r="G213" s="167">
        <f t="shared" ref="G213:I216" si="164">G214</f>
        <v>0</v>
      </c>
      <c r="H213" s="167">
        <f t="shared" si="164"/>
        <v>0</v>
      </c>
      <c r="I213" s="167">
        <f t="shared" si="164"/>
        <v>100000</v>
      </c>
      <c r="J213" s="216">
        <f t="shared" si="163"/>
        <v>100000</v>
      </c>
      <c r="K213" s="216"/>
      <c r="L213" s="167">
        <f t="shared" ref="L213:L216" si="165">L214</f>
        <v>100000</v>
      </c>
    </row>
    <row r="214" spans="1:12" ht="54" outlineLevel="1">
      <c r="A214" s="45" t="s">
        <v>801</v>
      </c>
      <c r="B214" s="46" t="s">
        <v>504</v>
      </c>
      <c r="C214" s="46" t="s">
        <v>53</v>
      </c>
      <c r="D214" s="46" t="s">
        <v>414</v>
      </c>
      <c r="E214" s="46" t="s">
        <v>6</v>
      </c>
      <c r="F214" s="167">
        <f>F215</f>
        <v>50000</v>
      </c>
      <c r="G214" s="167">
        <f t="shared" si="164"/>
        <v>0</v>
      </c>
      <c r="H214" s="167">
        <f t="shared" si="164"/>
        <v>0</v>
      </c>
      <c r="I214" s="167">
        <f t="shared" si="164"/>
        <v>100000</v>
      </c>
      <c r="J214" s="216">
        <f t="shared" si="163"/>
        <v>100000</v>
      </c>
      <c r="K214" s="216"/>
      <c r="L214" s="167">
        <f t="shared" si="165"/>
        <v>100000</v>
      </c>
    </row>
    <row r="215" spans="1:12" ht="126" outlineLevel="1">
      <c r="A215" s="45" t="s">
        <v>802</v>
      </c>
      <c r="B215" s="46" t="s">
        <v>504</v>
      </c>
      <c r="C215" s="46" t="s">
        <v>53</v>
      </c>
      <c r="D215" s="46" t="s">
        <v>803</v>
      </c>
      <c r="E215" s="46" t="s">
        <v>6</v>
      </c>
      <c r="F215" s="167">
        <f>F216</f>
        <v>50000</v>
      </c>
      <c r="G215" s="167">
        <f t="shared" si="164"/>
        <v>0</v>
      </c>
      <c r="H215" s="167">
        <f t="shared" si="164"/>
        <v>0</v>
      </c>
      <c r="I215" s="167">
        <f t="shared" si="164"/>
        <v>100000</v>
      </c>
      <c r="J215" s="216">
        <f t="shared" si="163"/>
        <v>100000</v>
      </c>
      <c r="K215" s="216"/>
      <c r="L215" s="167">
        <f t="shared" si="165"/>
        <v>100000</v>
      </c>
    </row>
    <row r="216" spans="1:12" outlineLevel="1">
      <c r="A216" s="45"/>
      <c r="B216" s="46" t="s">
        <v>504</v>
      </c>
      <c r="C216" s="46" t="s">
        <v>53</v>
      </c>
      <c r="D216" s="46" t="s">
        <v>803</v>
      </c>
      <c r="E216" s="46" t="s">
        <v>20</v>
      </c>
      <c r="F216" s="167">
        <f>F217</f>
        <v>50000</v>
      </c>
      <c r="G216" s="167">
        <f t="shared" si="164"/>
        <v>0</v>
      </c>
      <c r="H216" s="167">
        <f t="shared" si="164"/>
        <v>0</v>
      </c>
      <c r="I216" s="167">
        <f t="shared" si="164"/>
        <v>100000</v>
      </c>
      <c r="J216" s="216">
        <f t="shared" si="163"/>
        <v>100000</v>
      </c>
      <c r="K216" s="216"/>
      <c r="L216" s="167">
        <f t="shared" si="165"/>
        <v>100000</v>
      </c>
    </row>
    <row r="217" spans="1:12" outlineLevel="1">
      <c r="A217" s="45"/>
      <c r="B217" s="46" t="s">
        <v>504</v>
      </c>
      <c r="C217" s="46" t="s">
        <v>53</v>
      </c>
      <c r="D217" s="46" t="s">
        <v>803</v>
      </c>
      <c r="E217" s="46" t="s">
        <v>48</v>
      </c>
      <c r="F217" s="167">
        <v>50000</v>
      </c>
      <c r="G217" s="167">
        <v>0</v>
      </c>
      <c r="H217" s="167">
        <v>0</v>
      </c>
      <c r="I217" s="182">
        <v>100000</v>
      </c>
      <c r="J217" s="216">
        <f t="shared" si="163"/>
        <v>100000</v>
      </c>
      <c r="K217" s="216"/>
      <c r="L217" s="182">
        <v>100000</v>
      </c>
    </row>
    <row r="218" spans="1:12" ht="108" outlineLevel="1">
      <c r="A218" s="196" t="s">
        <v>389</v>
      </c>
      <c r="B218" s="197" t="s">
        <v>504</v>
      </c>
      <c r="C218" s="197" t="s">
        <v>53</v>
      </c>
      <c r="D218" s="197" t="s">
        <v>340</v>
      </c>
      <c r="E218" s="198" t="s">
        <v>6</v>
      </c>
      <c r="F218" s="171">
        <f>F219+F223</f>
        <v>620000</v>
      </c>
      <c r="G218" s="171">
        <f>G219+G223</f>
        <v>620000</v>
      </c>
      <c r="H218" s="171">
        <f>H219+H223</f>
        <v>3343600</v>
      </c>
      <c r="I218" s="199">
        <f>I219+I223</f>
        <v>343600</v>
      </c>
      <c r="J218" s="216">
        <f t="shared" si="163"/>
        <v>-3000000</v>
      </c>
      <c r="K218" s="216"/>
      <c r="L218" s="199">
        <f>L219+L223</f>
        <v>343600</v>
      </c>
    </row>
    <row r="219" spans="1:12" ht="36" outlineLevel="1">
      <c r="A219" s="164" t="s">
        <v>386</v>
      </c>
      <c r="B219" s="163" t="s">
        <v>504</v>
      </c>
      <c r="C219" s="163" t="s">
        <v>53</v>
      </c>
      <c r="D219" s="163" t="s">
        <v>341</v>
      </c>
      <c r="E219" s="169" t="s">
        <v>6</v>
      </c>
      <c r="F219" s="184">
        <f>F220</f>
        <v>300000</v>
      </c>
      <c r="G219" s="184">
        <f>G220</f>
        <v>300000</v>
      </c>
      <c r="H219" s="184">
        <f>H220</f>
        <v>3213600</v>
      </c>
      <c r="I219" s="195">
        <f>I220</f>
        <v>213600</v>
      </c>
      <c r="J219" s="216">
        <f t="shared" si="163"/>
        <v>-3000000</v>
      </c>
      <c r="K219" s="216"/>
      <c r="L219" s="195">
        <f>L220</f>
        <v>213600</v>
      </c>
    </row>
    <row r="220" spans="1:12" ht="36" outlineLevel="1">
      <c r="A220" s="164" t="s">
        <v>342</v>
      </c>
      <c r="B220" s="163" t="s">
        <v>504</v>
      </c>
      <c r="C220" s="163" t="s">
        <v>53</v>
      </c>
      <c r="D220" s="163" t="s">
        <v>343</v>
      </c>
      <c r="E220" s="169" t="s">
        <v>6</v>
      </c>
      <c r="F220" s="184">
        <f>F221</f>
        <v>300000</v>
      </c>
      <c r="G220" s="184">
        <f t="shared" ref="G220:I221" si="166">G221</f>
        <v>300000</v>
      </c>
      <c r="H220" s="184">
        <f t="shared" si="166"/>
        <v>3213600</v>
      </c>
      <c r="I220" s="195">
        <f t="shared" si="166"/>
        <v>213600</v>
      </c>
      <c r="J220" s="216">
        <f t="shared" si="163"/>
        <v>-3000000</v>
      </c>
      <c r="K220" s="216"/>
      <c r="L220" s="195">
        <f t="shared" ref="L220:L221" si="167">L221</f>
        <v>213600</v>
      </c>
    </row>
    <row r="221" spans="1:12" ht="19.5" customHeight="1" outlineLevel="1">
      <c r="A221" s="164" t="s">
        <v>15</v>
      </c>
      <c r="B221" s="163" t="s">
        <v>504</v>
      </c>
      <c r="C221" s="163" t="s">
        <v>53</v>
      </c>
      <c r="D221" s="163" t="s">
        <v>343</v>
      </c>
      <c r="E221" s="169" t="s">
        <v>16</v>
      </c>
      <c r="F221" s="184">
        <f>F222</f>
        <v>300000</v>
      </c>
      <c r="G221" s="184">
        <f t="shared" si="166"/>
        <v>300000</v>
      </c>
      <c r="H221" s="184">
        <f t="shared" si="166"/>
        <v>3213600</v>
      </c>
      <c r="I221" s="195">
        <f t="shared" si="166"/>
        <v>213600</v>
      </c>
      <c r="J221" s="216">
        <f t="shared" si="163"/>
        <v>-3000000</v>
      </c>
      <c r="K221" s="216"/>
      <c r="L221" s="195">
        <f t="shared" si="167"/>
        <v>213600</v>
      </c>
    </row>
    <row r="222" spans="1:12" ht="54" outlineLevel="2">
      <c r="A222" s="164" t="s">
        <v>17</v>
      </c>
      <c r="B222" s="163" t="s">
        <v>504</v>
      </c>
      <c r="C222" s="163" t="s">
        <v>53</v>
      </c>
      <c r="D222" s="163" t="s">
        <v>343</v>
      </c>
      <c r="E222" s="169" t="s">
        <v>18</v>
      </c>
      <c r="F222" s="167">
        <v>300000</v>
      </c>
      <c r="G222" s="167">
        <v>300000</v>
      </c>
      <c r="H222" s="167">
        <v>3213600</v>
      </c>
      <c r="I222" s="182">
        <v>213600</v>
      </c>
      <c r="J222" s="216">
        <f t="shared" si="163"/>
        <v>-3000000</v>
      </c>
      <c r="K222" s="216"/>
      <c r="L222" s="182">
        <v>213600</v>
      </c>
    </row>
    <row r="223" spans="1:12" ht="36" outlineLevel="3">
      <c r="A223" s="200" t="s">
        <v>388</v>
      </c>
      <c r="B223" s="163" t="s">
        <v>504</v>
      </c>
      <c r="C223" s="163" t="s">
        <v>53</v>
      </c>
      <c r="D223" s="163" t="s">
        <v>387</v>
      </c>
      <c r="E223" s="169" t="s">
        <v>6</v>
      </c>
      <c r="F223" s="167">
        <f>F224</f>
        <v>320000</v>
      </c>
      <c r="G223" s="167">
        <f>G224</f>
        <v>320000</v>
      </c>
      <c r="H223" s="167">
        <f>H224</f>
        <v>130000</v>
      </c>
      <c r="I223" s="182">
        <f>I224</f>
        <v>130000</v>
      </c>
      <c r="J223" s="216">
        <f t="shared" si="163"/>
        <v>0</v>
      </c>
      <c r="K223" s="216"/>
      <c r="L223" s="182">
        <f>L224</f>
        <v>130000</v>
      </c>
    </row>
    <row r="224" spans="1:12" ht="36" outlineLevel="3">
      <c r="A224" s="164" t="s">
        <v>344</v>
      </c>
      <c r="B224" s="163" t="s">
        <v>504</v>
      </c>
      <c r="C224" s="163" t="s">
        <v>53</v>
      </c>
      <c r="D224" s="163" t="s">
        <v>439</v>
      </c>
      <c r="E224" s="169" t="s">
        <v>6</v>
      </c>
      <c r="F224" s="167">
        <f>F225</f>
        <v>320000</v>
      </c>
      <c r="G224" s="167">
        <f t="shared" ref="G224:I225" si="168">G225</f>
        <v>320000</v>
      </c>
      <c r="H224" s="167">
        <f t="shared" si="168"/>
        <v>130000</v>
      </c>
      <c r="I224" s="182">
        <f t="shared" si="168"/>
        <v>130000</v>
      </c>
      <c r="J224" s="216">
        <f t="shared" si="163"/>
        <v>0</v>
      </c>
      <c r="K224" s="216"/>
      <c r="L224" s="182">
        <f t="shared" ref="L224:L225" si="169">L225</f>
        <v>130000</v>
      </c>
    </row>
    <row r="225" spans="1:12" ht="21.75" customHeight="1" outlineLevel="3">
      <c r="A225" s="164" t="s">
        <v>15</v>
      </c>
      <c r="B225" s="163" t="s">
        <v>504</v>
      </c>
      <c r="C225" s="163" t="s">
        <v>53</v>
      </c>
      <c r="D225" s="163" t="s">
        <v>439</v>
      </c>
      <c r="E225" s="169" t="s">
        <v>16</v>
      </c>
      <c r="F225" s="167">
        <f>F226</f>
        <v>320000</v>
      </c>
      <c r="G225" s="167">
        <f t="shared" si="168"/>
        <v>320000</v>
      </c>
      <c r="H225" s="167">
        <f t="shared" si="168"/>
        <v>130000</v>
      </c>
      <c r="I225" s="182">
        <f t="shared" si="168"/>
        <v>130000</v>
      </c>
      <c r="J225" s="216">
        <f t="shared" si="163"/>
        <v>0</v>
      </c>
      <c r="K225" s="216"/>
      <c r="L225" s="182">
        <f t="shared" si="169"/>
        <v>130000</v>
      </c>
    </row>
    <row r="226" spans="1:12" ht="54" outlineLevel="3">
      <c r="A226" s="164" t="s">
        <v>17</v>
      </c>
      <c r="B226" s="163" t="s">
        <v>504</v>
      </c>
      <c r="C226" s="163" t="s">
        <v>53</v>
      </c>
      <c r="D226" s="163" t="s">
        <v>439</v>
      </c>
      <c r="E226" s="169" t="s">
        <v>18</v>
      </c>
      <c r="F226" s="167">
        <v>320000</v>
      </c>
      <c r="G226" s="167">
        <v>320000</v>
      </c>
      <c r="H226" s="167">
        <v>130000</v>
      </c>
      <c r="I226" s="182">
        <v>130000</v>
      </c>
      <c r="J226" s="216">
        <f t="shared" si="163"/>
        <v>0</v>
      </c>
      <c r="K226" s="216"/>
      <c r="L226" s="182">
        <v>130000</v>
      </c>
    </row>
    <row r="227" spans="1:12" ht="36" outlineLevel="3">
      <c r="A227" s="196" t="s">
        <v>54</v>
      </c>
      <c r="B227" s="197" t="s">
        <v>504</v>
      </c>
      <c r="C227" s="197" t="s">
        <v>55</v>
      </c>
      <c r="D227" s="197" t="s">
        <v>126</v>
      </c>
      <c r="E227" s="198" t="s">
        <v>6</v>
      </c>
      <c r="F227" s="219">
        <f>F228+F239+F271+F317</f>
        <v>224194693.03</v>
      </c>
      <c r="G227" s="219">
        <f>G228+G239+G271+G317</f>
        <v>30324715.140000001</v>
      </c>
      <c r="H227" s="219">
        <f>H228+H239+H271+H317</f>
        <v>47118494.18</v>
      </c>
      <c r="I227" s="207">
        <f>I228+I239+I271+I317</f>
        <v>41846494.18</v>
      </c>
      <c r="J227" s="216">
        <f t="shared" si="163"/>
        <v>-5272000</v>
      </c>
      <c r="K227" s="216"/>
      <c r="L227" s="207">
        <f>L228+L239+L271+L317</f>
        <v>76906494.180000007</v>
      </c>
    </row>
    <row r="228" spans="1:12" outlineLevel="5">
      <c r="A228" s="164" t="s">
        <v>56</v>
      </c>
      <c r="B228" s="163" t="s">
        <v>504</v>
      </c>
      <c r="C228" s="163" t="s">
        <v>57</v>
      </c>
      <c r="D228" s="163" t="s">
        <v>126</v>
      </c>
      <c r="E228" s="169" t="s">
        <v>6</v>
      </c>
      <c r="F228" s="167">
        <f>F229+F234</f>
        <v>3143000</v>
      </c>
      <c r="G228" s="167">
        <f>G229+G235</f>
        <v>500000</v>
      </c>
      <c r="H228" s="167">
        <f>H229+H235</f>
        <v>2500000</v>
      </c>
      <c r="I228" s="182">
        <f>I229+I235</f>
        <v>2500000</v>
      </c>
      <c r="J228" s="216">
        <f t="shared" si="163"/>
        <v>0</v>
      </c>
      <c r="K228" s="216"/>
      <c r="L228" s="182">
        <f>L229+L235</f>
        <v>2500000</v>
      </c>
    </row>
    <row r="229" spans="1:12" ht="26.4" customHeight="1" outlineLevel="6">
      <c r="A229" s="196" t="s">
        <v>551</v>
      </c>
      <c r="B229" s="197" t="s">
        <v>504</v>
      </c>
      <c r="C229" s="197" t="s">
        <v>57</v>
      </c>
      <c r="D229" s="197" t="s">
        <v>331</v>
      </c>
      <c r="E229" s="198" t="s">
        <v>6</v>
      </c>
      <c r="F229" s="171">
        <f>F230</f>
        <v>3143000</v>
      </c>
      <c r="G229" s="171">
        <f>G230</f>
        <v>500000</v>
      </c>
      <c r="H229" s="171">
        <f>H230</f>
        <v>2500000</v>
      </c>
      <c r="I229" s="199">
        <f>I230</f>
        <v>2500000</v>
      </c>
      <c r="J229" s="216">
        <f t="shared" si="163"/>
        <v>0</v>
      </c>
      <c r="K229" s="216"/>
      <c r="L229" s="199">
        <f>L230</f>
        <v>2500000</v>
      </c>
    </row>
    <row r="230" spans="1:12" ht="37.5" customHeight="1" outlineLevel="7">
      <c r="A230" s="164" t="s">
        <v>345</v>
      </c>
      <c r="B230" s="163" t="s">
        <v>504</v>
      </c>
      <c r="C230" s="163" t="s">
        <v>57</v>
      </c>
      <c r="D230" s="163" t="s">
        <v>332</v>
      </c>
      <c r="E230" s="169" t="s">
        <v>6</v>
      </c>
      <c r="F230" s="167">
        <f>F231</f>
        <v>3143000</v>
      </c>
      <c r="G230" s="167">
        <f t="shared" ref="G230:I232" si="170">G231</f>
        <v>500000</v>
      </c>
      <c r="H230" s="167">
        <f t="shared" si="170"/>
        <v>2500000</v>
      </c>
      <c r="I230" s="182">
        <f t="shared" si="170"/>
        <v>2500000</v>
      </c>
      <c r="J230" s="216">
        <f t="shared" si="163"/>
        <v>0</v>
      </c>
      <c r="K230" s="216"/>
      <c r="L230" s="182">
        <f t="shared" ref="L230:L232" si="171">L231</f>
        <v>2500000</v>
      </c>
    </row>
    <row r="231" spans="1:12" ht="36" outlineLevel="5">
      <c r="A231" s="164" t="s">
        <v>346</v>
      </c>
      <c r="B231" s="163" t="s">
        <v>504</v>
      </c>
      <c r="C231" s="163" t="s">
        <v>57</v>
      </c>
      <c r="D231" s="163" t="s">
        <v>347</v>
      </c>
      <c r="E231" s="169" t="s">
        <v>6</v>
      </c>
      <c r="F231" s="167">
        <f>F232</f>
        <v>3143000</v>
      </c>
      <c r="G231" s="167">
        <f t="shared" si="170"/>
        <v>500000</v>
      </c>
      <c r="H231" s="167">
        <f t="shared" si="170"/>
        <v>2500000</v>
      </c>
      <c r="I231" s="182">
        <f t="shared" si="170"/>
        <v>2500000</v>
      </c>
      <c r="J231" s="216">
        <f t="shared" si="163"/>
        <v>0</v>
      </c>
      <c r="K231" s="216"/>
      <c r="L231" s="182">
        <f t="shared" si="171"/>
        <v>2500000</v>
      </c>
    </row>
    <row r="232" spans="1:12" ht="20.25" customHeight="1" outlineLevel="6">
      <c r="A232" s="164" t="s">
        <v>15</v>
      </c>
      <c r="B232" s="163" t="s">
        <v>504</v>
      </c>
      <c r="C232" s="163" t="s">
        <v>57</v>
      </c>
      <c r="D232" s="163" t="s">
        <v>347</v>
      </c>
      <c r="E232" s="169" t="s">
        <v>16</v>
      </c>
      <c r="F232" s="167">
        <f>F233</f>
        <v>3143000</v>
      </c>
      <c r="G232" s="167">
        <f t="shared" si="170"/>
        <v>500000</v>
      </c>
      <c r="H232" s="167">
        <f t="shared" si="170"/>
        <v>2500000</v>
      </c>
      <c r="I232" s="182">
        <f t="shared" si="170"/>
        <v>2500000</v>
      </c>
      <c r="J232" s="216">
        <f t="shared" si="163"/>
        <v>0</v>
      </c>
      <c r="K232" s="216"/>
      <c r="L232" s="182">
        <f t="shared" si="171"/>
        <v>2500000</v>
      </c>
    </row>
    <row r="233" spans="1:12" ht="42" customHeight="1" outlineLevel="7">
      <c r="A233" s="164" t="s">
        <v>17</v>
      </c>
      <c r="B233" s="163" t="s">
        <v>504</v>
      </c>
      <c r="C233" s="163" t="s">
        <v>57</v>
      </c>
      <c r="D233" s="163" t="s">
        <v>347</v>
      </c>
      <c r="E233" s="169" t="s">
        <v>18</v>
      </c>
      <c r="F233" s="167">
        <v>3143000</v>
      </c>
      <c r="G233" s="167">
        <v>500000</v>
      </c>
      <c r="H233" s="184">
        <v>2500000</v>
      </c>
      <c r="I233" s="195">
        <v>2500000</v>
      </c>
      <c r="J233" s="216">
        <f t="shared" si="163"/>
        <v>0</v>
      </c>
      <c r="K233" s="216"/>
      <c r="L233" s="195">
        <v>2500000</v>
      </c>
    </row>
    <row r="234" spans="1:12" ht="36" outlineLevel="7">
      <c r="A234" s="164" t="s">
        <v>132</v>
      </c>
      <c r="B234" s="163" t="s">
        <v>504</v>
      </c>
      <c r="C234" s="163" t="s">
        <v>57</v>
      </c>
      <c r="D234" s="163" t="s">
        <v>127</v>
      </c>
      <c r="E234" s="169" t="s">
        <v>6</v>
      </c>
      <c r="F234" s="167">
        <f>F235</f>
        <v>0</v>
      </c>
      <c r="G234" s="167">
        <f t="shared" ref="G234:I237" si="172">G235</f>
        <v>0</v>
      </c>
      <c r="H234" s="167">
        <f t="shared" si="172"/>
        <v>0</v>
      </c>
      <c r="I234" s="182">
        <f t="shared" si="172"/>
        <v>0</v>
      </c>
      <c r="J234" s="216">
        <f t="shared" si="163"/>
        <v>0</v>
      </c>
      <c r="K234" s="216"/>
      <c r="L234" s="182">
        <f t="shared" ref="L234:L237" si="173">L235</f>
        <v>0</v>
      </c>
    </row>
    <row r="235" spans="1:12" ht="36" outlineLevel="7">
      <c r="A235" s="164" t="s">
        <v>277</v>
      </c>
      <c r="B235" s="163" t="s">
        <v>504</v>
      </c>
      <c r="C235" s="163" t="s">
        <v>57</v>
      </c>
      <c r="D235" s="163" t="s">
        <v>276</v>
      </c>
      <c r="E235" s="169" t="s">
        <v>6</v>
      </c>
      <c r="F235" s="167">
        <f>F236</f>
        <v>0</v>
      </c>
      <c r="G235" s="167">
        <f t="shared" si="172"/>
        <v>0</v>
      </c>
      <c r="H235" s="167">
        <f t="shared" si="172"/>
        <v>0</v>
      </c>
      <c r="I235" s="182">
        <f t="shared" si="172"/>
        <v>0</v>
      </c>
      <c r="J235" s="216">
        <f t="shared" si="163"/>
        <v>0</v>
      </c>
      <c r="K235" s="216"/>
      <c r="L235" s="182">
        <f t="shared" si="173"/>
        <v>0</v>
      </c>
    </row>
    <row r="236" spans="1:12" ht="90" outlineLevel="7">
      <c r="A236" s="187" t="s">
        <v>381</v>
      </c>
      <c r="B236" s="163" t="s">
        <v>504</v>
      </c>
      <c r="C236" s="163" t="s">
        <v>57</v>
      </c>
      <c r="D236" s="163" t="s">
        <v>511</v>
      </c>
      <c r="E236" s="169" t="s">
        <v>6</v>
      </c>
      <c r="F236" s="167">
        <f>F237</f>
        <v>0</v>
      </c>
      <c r="G236" s="167">
        <f t="shared" si="172"/>
        <v>0</v>
      </c>
      <c r="H236" s="167">
        <f t="shared" si="172"/>
        <v>0</v>
      </c>
      <c r="I236" s="182">
        <f t="shared" si="172"/>
        <v>0</v>
      </c>
      <c r="J236" s="216">
        <f t="shared" si="163"/>
        <v>0</v>
      </c>
      <c r="K236" s="216"/>
      <c r="L236" s="182">
        <f t="shared" si="173"/>
        <v>0</v>
      </c>
    </row>
    <row r="237" spans="1:12" ht="21.15" customHeight="1" outlineLevel="7">
      <c r="A237" s="164" t="s">
        <v>15</v>
      </c>
      <c r="B237" s="163" t="s">
        <v>504</v>
      </c>
      <c r="C237" s="163" t="s">
        <v>57</v>
      </c>
      <c r="D237" s="163" t="s">
        <v>511</v>
      </c>
      <c r="E237" s="169" t="s">
        <v>16</v>
      </c>
      <c r="F237" s="167">
        <f>F238</f>
        <v>0</v>
      </c>
      <c r="G237" s="167">
        <f t="shared" si="172"/>
        <v>0</v>
      </c>
      <c r="H237" s="167">
        <f t="shared" si="172"/>
        <v>0</v>
      </c>
      <c r="I237" s="182">
        <f t="shared" si="172"/>
        <v>0</v>
      </c>
      <c r="J237" s="216">
        <f t="shared" si="163"/>
        <v>0</v>
      </c>
      <c r="K237" s="216"/>
      <c r="L237" s="182">
        <f t="shared" si="173"/>
        <v>0</v>
      </c>
    </row>
    <row r="238" spans="1:12" ht="23.25" customHeight="1" outlineLevel="7">
      <c r="A238" s="164" t="s">
        <v>17</v>
      </c>
      <c r="B238" s="163" t="s">
        <v>504</v>
      </c>
      <c r="C238" s="163" t="s">
        <v>57</v>
      </c>
      <c r="D238" s="163" t="s">
        <v>511</v>
      </c>
      <c r="E238" s="169" t="s">
        <v>18</v>
      </c>
      <c r="F238" s="167">
        <v>0</v>
      </c>
      <c r="G238" s="167">
        <v>0</v>
      </c>
      <c r="H238" s="184">
        <v>0</v>
      </c>
      <c r="I238" s="195">
        <v>0</v>
      </c>
      <c r="J238" s="216">
        <f t="shared" si="163"/>
        <v>0</v>
      </c>
      <c r="K238" s="216"/>
      <c r="L238" s="195">
        <v>0</v>
      </c>
    </row>
    <row r="239" spans="1:12" ht="24.75" customHeight="1" outlineLevel="1">
      <c r="A239" s="164" t="s">
        <v>58</v>
      </c>
      <c r="B239" s="163" t="s">
        <v>504</v>
      </c>
      <c r="C239" s="163" t="s">
        <v>59</v>
      </c>
      <c r="D239" s="163" t="s">
        <v>126</v>
      </c>
      <c r="E239" s="169" t="s">
        <v>6</v>
      </c>
      <c r="F239" s="167">
        <f>F240</f>
        <v>192790081.63999999</v>
      </c>
      <c r="G239" s="167">
        <f t="shared" ref="G239:I239" si="174">G240</f>
        <v>1925000</v>
      </c>
      <c r="H239" s="167">
        <f t="shared" si="174"/>
        <v>10350000</v>
      </c>
      <c r="I239" s="182">
        <f t="shared" si="174"/>
        <v>6128000</v>
      </c>
      <c r="J239" s="216">
        <f t="shared" si="163"/>
        <v>-4222000</v>
      </c>
      <c r="K239" s="216"/>
      <c r="L239" s="182">
        <f t="shared" ref="L239" si="175">L240</f>
        <v>30388000</v>
      </c>
    </row>
    <row r="240" spans="1:12" ht="41.25" customHeight="1" outlineLevel="2">
      <c r="A240" s="196" t="s">
        <v>348</v>
      </c>
      <c r="B240" s="197" t="s">
        <v>504</v>
      </c>
      <c r="C240" s="197" t="s">
        <v>59</v>
      </c>
      <c r="D240" s="197" t="s">
        <v>134</v>
      </c>
      <c r="E240" s="198" t="s">
        <v>6</v>
      </c>
      <c r="F240" s="171">
        <f>F241</f>
        <v>192790081.63999999</v>
      </c>
      <c r="G240" s="171">
        <f>G241</f>
        <v>1925000</v>
      </c>
      <c r="H240" s="171">
        <f>H241</f>
        <v>10350000</v>
      </c>
      <c r="I240" s="199">
        <f>I241</f>
        <v>6128000</v>
      </c>
      <c r="J240" s="216">
        <f t="shared" si="163"/>
        <v>-4222000</v>
      </c>
      <c r="K240" s="216"/>
      <c r="L240" s="199">
        <f>L241</f>
        <v>30388000</v>
      </c>
    </row>
    <row r="241" spans="1:12" ht="36" customHeight="1" outlineLevel="3">
      <c r="A241" s="164" t="s">
        <v>349</v>
      </c>
      <c r="B241" s="163" t="s">
        <v>504</v>
      </c>
      <c r="C241" s="163" t="s">
        <v>59</v>
      </c>
      <c r="D241" s="163" t="s">
        <v>350</v>
      </c>
      <c r="E241" s="169" t="s">
        <v>6</v>
      </c>
      <c r="F241" s="167">
        <f>F242+F259+F262+F256+F268+F265+F249+F252</f>
        <v>192790081.63999999</v>
      </c>
      <c r="G241" s="167">
        <f>G242+G249+G252+G258+G255</f>
        <v>1925000</v>
      </c>
      <c r="H241" s="167">
        <f>H242+H249+H252+H258+H255</f>
        <v>10350000</v>
      </c>
      <c r="I241" s="182">
        <f>I242+I249+I252+I258+I255</f>
        <v>6128000</v>
      </c>
      <c r="J241" s="216">
        <f t="shared" si="163"/>
        <v>-4222000</v>
      </c>
      <c r="K241" s="216"/>
      <c r="L241" s="182">
        <f>L242+L249+L252+L258+L255</f>
        <v>30388000</v>
      </c>
    </row>
    <row r="242" spans="1:12" ht="126" outlineLevel="5">
      <c r="A242" s="164" t="s">
        <v>60</v>
      </c>
      <c r="B242" s="163" t="s">
        <v>504</v>
      </c>
      <c r="C242" s="163" t="s">
        <v>59</v>
      </c>
      <c r="D242" s="163" t="s">
        <v>351</v>
      </c>
      <c r="E242" s="169" t="s">
        <v>6</v>
      </c>
      <c r="F242" s="167">
        <f>F243+F245+F247</f>
        <v>19234000</v>
      </c>
      <c r="G242" s="167">
        <f t="shared" ref="G242:I242" si="176">G243+G245+G247</f>
        <v>455000</v>
      </c>
      <c r="H242" s="167">
        <f t="shared" si="176"/>
        <v>650000</v>
      </c>
      <c r="I242" s="167">
        <f t="shared" si="176"/>
        <v>650000</v>
      </c>
      <c r="J242" s="216">
        <f t="shared" si="163"/>
        <v>0</v>
      </c>
      <c r="K242" s="216"/>
      <c r="L242" s="167">
        <f t="shared" ref="L242" si="177">L243+L245+L247</f>
        <v>14910000</v>
      </c>
    </row>
    <row r="243" spans="1:12" ht="20.25" customHeight="1" outlineLevel="6">
      <c r="A243" s="164" t="s">
        <v>15</v>
      </c>
      <c r="B243" s="163" t="s">
        <v>504</v>
      </c>
      <c r="C243" s="163" t="s">
        <v>59</v>
      </c>
      <c r="D243" s="163" t="s">
        <v>351</v>
      </c>
      <c r="E243" s="169" t="s">
        <v>16</v>
      </c>
      <c r="F243" s="167">
        <f>F244</f>
        <v>5940123.6200000001</v>
      </c>
      <c r="G243" s="167">
        <f t="shared" ref="G243:I243" si="178">G244</f>
        <v>455000</v>
      </c>
      <c r="H243" s="167">
        <f t="shared" si="178"/>
        <v>650000</v>
      </c>
      <c r="I243" s="182">
        <f t="shared" si="178"/>
        <v>650000</v>
      </c>
      <c r="J243" s="216">
        <f t="shared" si="163"/>
        <v>0</v>
      </c>
      <c r="K243" s="216"/>
      <c r="L243" s="182">
        <f t="shared" ref="L243" si="179">L244</f>
        <v>4910000</v>
      </c>
    </row>
    <row r="244" spans="1:12" ht="54" outlineLevel="7">
      <c r="A244" s="164" t="s">
        <v>17</v>
      </c>
      <c r="B244" s="163" t="s">
        <v>504</v>
      </c>
      <c r="C244" s="163" t="s">
        <v>59</v>
      </c>
      <c r="D244" s="163" t="s">
        <v>351</v>
      </c>
      <c r="E244" s="169" t="s">
        <v>18</v>
      </c>
      <c r="F244" s="167">
        <v>5940123.6200000001</v>
      </c>
      <c r="G244" s="167">
        <v>455000</v>
      </c>
      <c r="H244" s="184">
        <v>650000</v>
      </c>
      <c r="I244" s="195">
        <v>650000</v>
      </c>
      <c r="J244" s="216">
        <f t="shared" si="163"/>
        <v>0</v>
      </c>
      <c r="K244" s="216">
        <v>4260000</v>
      </c>
      <c r="L244" s="195">
        <f>650000+4260000</f>
        <v>4910000</v>
      </c>
    </row>
    <row r="245" spans="1:12" ht="54" outlineLevel="7">
      <c r="A245" s="164" t="s">
        <v>264</v>
      </c>
      <c r="B245" s="163" t="s">
        <v>504</v>
      </c>
      <c r="C245" s="163" t="s">
        <v>59</v>
      </c>
      <c r="D245" s="163" t="s">
        <v>351</v>
      </c>
      <c r="E245" s="163" t="s">
        <v>265</v>
      </c>
      <c r="F245" s="167">
        <f>F246</f>
        <v>1362876.38</v>
      </c>
      <c r="G245" s="167">
        <f t="shared" ref="G245:I245" si="180">G246</f>
        <v>0</v>
      </c>
      <c r="H245" s="167">
        <f t="shared" si="180"/>
        <v>0</v>
      </c>
      <c r="I245" s="167">
        <f t="shared" si="180"/>
        <v>0</v>
      </c>
      <c r="J245" s="216">
        <f t="shared" si="163"/>
        <v>0</v>
      </c>
      <c r="K245" s="216"/>
      <c r="L245" s="167">
        <f t="shared" ref="L245" si="181">L246</f>
        <v>0</v>
      </c>
    </row>
    <row r="246" spans="1:12" outlineLevel="7">
      <c r="A246" s="164" t="s">
        <v>266</v>
      </c>
      <c r="B246" s="163" t="s">
        <v>504</v>
      </c>
      <c r="C246" s="163" t="s">
        <v>59</v>
      </c>
      <c r="D246" s="163" t="s">
        <v>351</v>
      </c>
      <c r="E246" s="163" t="s">
        <v>267</v>
      </c>
      <c r="F246" s="167">
        <v>1362876.38</v>
      </c>
      <c r="G246" s="167"/>
      <c r="H246" s="184"/>
      <c r="I246" s="195"/>
      <c r="J246" s="216">
        <f t="shared" si="163"/>
        <v>0</v>
      </c>
      <c r="K246" s="216"/>
      <c r="L246" s="195"/>
    </row>
    <row r="247" spans="1:12" outlineLevel="7">
      <c r="A247" s="164" t="s">
        <v>19</v>
      </c>
      <c r="B247" s="163" t="s">
        <v>504</v>
      </c>
      <c r="C247" s="163" t="s">
        <v>59</v>
      </c>
      <c r="D247" s="163" t="s">
        <v>351</v>
      </c>
      <c r="E247" s="163" t="s">
        <v>20</v>
      </c>
      <c r="F247" s="167">
        <f>F248</f>
        <v>11931000</v>
      </c>
      <c r="G247" s="167">
        <f t="shared" ref="G247:I247" si="182">G248</f>
        <v>0</v>
      </c>
      <c r="H247" s="167">
        <f t="shared" si="182"/>
        <v>0</v>
      </c>
      <c r="I247" s="167">
        <f t="shared" si="182"/>
        <v>0</v>
      </c>
      <c r="J247" s="216">
        <f t="shared" si="163"/>
        <v>0</v>
      </c>
      <c r="K247" s="216"/>
      <c r="L247" s="167">
        <f t="shared" ref="L247" si="183">L248</f>
        <v>10000000</v>
      </c>
    </row>
    <row r="248" spans="1:12" ht="72" outlineLevel="7">
      <c r="A248" s="164" t="s">
        <v>47</v>
      </c>
      <c r="B248" s="163" t="s">
        <v>504</v>
      </c>
      <c r="C248" s="163" t="s">
        <v>59</v>
      </c>
      <c r="D248" s="163" t="s">
        <v>351</v>
      </c>
      <c r="E248" s="163" t="s">
        <v>48</v>
      </c>
      <c r="F248" s="167">
        <v>11931000</v>
      </c>
      <c r="G248" s="167"/>
      <c r="H248" s="184"/>
      <c r="I248" s="195"/>
      <c r="J248" s="216">
        <f t="shared" si="163"/>
        <v>0</v>
      </c>
      <c r="K248" s="216">
        <v>10000000</v>
      </c>
      <c r="L248" s="195">
        <v>10000000</v>
      </c>
    </row>
    <row r="249" spans="1:12" ht="72" outlineLevel="3">
      <c r="A249" s="164" t="s">
        <v>250</v>
      </c>
      <c r="B249" s="163" t="s">
        <v>504</v>
      </c>
      <c r="C249" s="163" t="s">
        <v>59</v>
      </c>
      <c r="D249" s="163" t="s">
        <v>352</v>
      </c>
      <c r="E249" s="169" t="s">
        <v>6</v>
      </c>
      <c r="F249" s="184">
        <f>F250</f>
        <v>500000</v>
      </c>
      <c r="G249" s="184">
        <f t="shared" ref="G249:I250" si="184">G250</f>
        <v>500000</v>
      </c>
      <c r="H249" s="184">
        <f t="shared" si="184"/>
        <v>4000000</v>
      </c>
      <c r="I249" s="195">
        <f t="shared" si="184"/>
        <v>4000000</v>
      </c>
      <c r="J249" s="216">
        <f t="shared" si="163"/>
        <v>0</v>
      </c>
      <c r="K249" s="216"/>
      <c r="L249" s="195">
        <f t="shared" ref="L249:L250" si="185">L250</f>
        <v>4000000</v>
      </c>
    </row>
    <row r="250" spans="1:12" outlineLevel="7">
      <c r="A250" s="164" t="s">
        <v>19</v>
      </c>
      <c r="B250" s="163" t="s">
        <v>504</v>
      </c>
      <c r="C250" s="163" t="s">
        <v>59</v>
      </c>
      <c r="D250" s="163" t="s">
        <v>352</v>
      </c>
      <c r="E250" s="169" t="s">
        <v>20</v>
      </c>
      <c r="F250" s="184">
        <f>F251</f>
        <v>500000</v>
      </c>
      <c r="G250" s="184">
        <f t="shared" si="184"/>
        <v>500000</v>
      </c>
      <c r="H250" s="184">
        <f t="shared" si="184"/>
        <v>4000000</v>
      </c>
      <c r="I250" s="195">
        <f t="shared" si="184"/>
        <v>4000000</v>
      </c>
      <c r="J250" s="216">
        <f t="shared" si="163"/>
        <v>0</v>
      </c>
      <c r="K250" s="216"/>
      <c r="L250" s="195">
        <f t="shared" si="185"/>
        <v>4000000</v>
      </c>
    </row>
    <row r="251" spans="1:12" ht="72" outlineLevel="7">
      <c r="A251" s="164" t="s">
        <v>47</v>
      </c>
      <c r="B251" s="163" t="s">
        <v>504</v>
      </c>
      <c r="C251" s="163" t="s">
        <v>59</v>
      </c>
      <c r="D251" s="163" t="s">
        <v>352</v>
      </c>
      <c r="E251" s="169" t="s">
        <v>48</v>
      </c>
      <c r="F251" s="167">
        <v>500000</v>
      </c>
      <c r="G251" s="167">
        <v>500000</v>
      </c>
      <c r="H251" s="167">
        <v>4000000</v>
      </c>
      <c r="I251" s="182">
        <v>4000000</v>
      </c>
      <c r="J251" s="216">
        <f t="shared" si="163"/>
        <v>0</v>
      </c>
      <c r="K251" s="216"/>
      <c r="L251" s="182">
        <v>4000000</v>
      </c>
    </row>
    <row r="252" spans="1:12" ht="54" outlineLevel="7">
      <c r="A252" s="164" t="s">
        <v>262</v>
      </c>
      <c r="B252" s="163" t="s">
        <v>504</v>
      </c>
      <c r="C252" s="163" t="s">
        <v>59</v>
      </c>
      <c r="D252" s="163" t="s">
        <v>353</v>
      </c>
      <c r="E252" s="169" t="s">
        <v>6</v>
      </c>
      <c r="F252" s="184">
        <f>F253</f>
        <v>11000000</v>
      </c>
      <c r="G252" s="184">
        <f t="shared" ref="G252:I253" si="186">G253</f>
        <v>500000</v>
      </c>
      <c r="H252" s="184">
        <f t="shared" si="186"/>
        <v>5000000</v>
      </c>
      <c r="I252" s="195">
        <f t="shared" si="186"/>
        <v>778000</v>
      </c>
      <c r="J252" s="216">
        <f t="shared" si="163"/>
        <v>-4222000</v>
      </c>
      <c r="K252" s="216"/>
      <c r="L252" s="195">
        <f t="shared" ref="L252:L253" si="187">L253</f>
        <v>10778000</v>
      </c>
    </row>
    <row r="253" spans="1:12" outlineLevel="5">
      <c r="A253" s="164" t="s">
        <v>19</v>
      </c>
      <c r="B253" s="163" t="s">
        <v>504</v>
      </c>
      <c r="C253" s="163" t="s">
        <v>59</v>
      </c>
      <c r="D253" s="163" t="s">
        <v>353</v>
      </c>
      <c r="E253" s="169" t="s">
        <v>20</v>
      </c>
      <c r="F253" s="184">
        <f>F254</f>
        <v>11000000</v>
      </c>
      <c r="G253" s="184">
        <f t="shared" si="186"/>
        <v>500000</v>
      </c>
      <c r="H253" s="184">
        <f t="shared" si="186"/>
        <v>5000000</v>
      </c>
      <c r="I253" s="195">
        <f t="shared" si="186"/>
        <v>778000</v>
      </c>
      <c r="J253" s="216">
        <f t="shared" si="163"/>
        <v>-4222000</v>
      </c>
      <c r="K253" s="216"/>
      <c r="L253" s="195">
        <f t="shared" si="187"/>
        <v>10778000</v>
      </c>
    </row>
    <row r="254" spans="1:12" ht="72" outlineLevel="6">
      <c r="A254" s="164" t="s">
        <v>47</v>
      </c>
      <c r="B254" s="163" t="s">
        <v>504</v>
      </c>
      <c r="C254" s="163" t="s">
        <v>59</v>
      </c>
      <c r="D254" s="163" t="s">
        <v>353</v>
      </c>
      <c r="E254" s="169" t="s">
        <v>48</v>
      </c>
      <c r="F254" s="167">
        <v>11000000</v>
      </c>
      <c r="G254" s="167">
        <v>500000</v>
      </c>
      <c r="H254" s="167">
        <v>5000000</v>
      </c>
      <c r="I254" s="167">
        <f>500000+278000</f>
        <v>778000</v>
      </c>
      <c r="J254" s="216">
        <f t="shared" si="163"/>
        <v>-4222000</v>
      </c>
      <c r="K254" s="216">
        <v>10000000</v>
      </c>
      <c r="L254" s="167">
        <f>500000+278000+10000000</f>
        <v>10778000</v>
      </c>
    </row>
    <row r="255" spans="1:12" ht="90" outlineLevel="6">
      <c r="A255" s="164" t="s">
        <v>299</v>
      </c>
      <c r="B255" s="163" t="s">
        <v>504</v>
      </c>
      <c r="C255" s="163" t="s">
        <v>59</v>
      </c>
      <c r="D255" s="163" t="s">
        <v>390</v>
      </c>
      <c r="E255" s="169" t="s">
        <v>6</v>
      </c>
      <c r="F255" s="169"/>
      <c r="G255" s="167">
        <f t="shared" ref="G255:I256" si="188">G256</f>
        <v>270000</v>
      </c>
      <c r="H255" s="167">
        <f t="shared" si="188"/>
        <v>500000</v>
      </c>
      <c r="I255" s="182">
        <f t="shared" si="188"/>
        <v>500000</v>
      </c>
      <c r="J255" s="216">
        <f t="shared" si="163"/>
        <v>0</v>
      </c>
      <c r="K255" s="216"/>
      <c r="L255" s="182">
        <f t="shared" ref="L255:L256" si="189">L256</f>
        <v>500000</v>
      </c>
    </row>
    <row r="256" spans="1:12" ht="36" outlineLevel="6">
      <c r="A256" s="164" t="s">
        <v>15</v>
      </c>
      <c r="B256" s="163" t="s">
        <v>504</v>
      </c>
      <c r="C256" s="163" t="s">
        <v>59</v>
      </c>
      <c r="D256" s="163" t="s">
        <v>390</v>
      </c>
      <c r="E256" s="169" t="s">
        <v>16</v>
      </c>
      <c r="F256" s="169"/>
      <c r="G256" s="167">
        <f t="shared" si="188"/>
        <v>270000</v>
      </c>
      <c r="H256" s="167">
        <f t="shared" si="188"/>
        <v>500000</v>
      </c>
      <c r="I256" s="182">
        <f t="shared" si="188"/>
        <v>500000</v>
      </c>
      <c r="J256" s="216">
        <f t="shared" si="163"/>
        <v>0</v>
      </c>
      <c r="K256" s="216"/>
      <c r="L256" s="182">
        <f t="shared" si="189"/>
        <v>500000</v>
      </c>
    </row>
    <row r="257" spans="1:12" ht="54" outlineLevel="6">
      <c r="A257" s="164" t="s">
        <v>17</v>
      </c>
      <c r="B257" s="163" t="s">
        <v>504</v>
      </c>
      <c r="C257" s="163" t="s">
        <v>59</v>
      </c>
      <c r="D257" s="163" t="s">
        <v>390</v>
      </c>
      <c r="E257" s="169" t="s">
        <v>18</v>
      </c>
      <c r="F257" s="169"/>
      <c r="G257" s="167">
        <v>270000</v>
      </c>
      <c r="H257" s="167">
        <v>500000</v>
      </c>
      <c r="I257" s="182">
        <v>500000</v>
      </c>
      <c r="J257" s="216">
        <f t="shared" si="163"/>
        <v>0</v>
      </c>
      <c r="K257" s="216"/>
      <c r="L257" s="182">
        <v>500000</v>
      </c>
    </row>
    <row r="258" spans="1:12" ht="90" outlineLevel="7">
      <c r="A258" s="164" t="s">
        <v>263</v>
      </c>
      <c r="B258" s="163" t="s">
        <v>504</v>
      </c>
      <c r="C258" s="163" t="s">
        <v>59</v>
      </c>
      <c r="D258" s="163" t="s">
        <v>391</v>
      </c>
      <c r="E258" s="169" t="s">
        <v>6</v>
      </c>
      <c r="F258" s="169"/>
      <c r="G258" s="167">
        <f t="shared" ref="G258:I259" si="190">G259</f>
        <v>200000</v>
      </c>
      <c r="H258" s="167">
        <f t="shared" si="190"/>
        <v>200000</v>
      </c>
      <c r="I258" s="182">
        <f t="shared" si="190"/>
        <v>200000</v>
      </c>
      <c r="J258" s="216">
        <f t="shared" si="163"/>
        <v>0</v>
      </c>
      <c r="K258" s="216"/>
      <c r="L258" s="182">
        <f t="shared" ref="L258:L259" si="191">L259</f>
        <v>200000</v>
      </c>
    </row>
    <row r="259" spans="1:12" ht="21.15" customHeight="1" outlineLevel="7">
      <c r="A259" s="164" t="s">
        <v>15</v>
      </c>
      <c r="B259" s="163" t="s">
        <v>504</v>
      </c>
      <c r="C259" s="163" t="s">
        <v>59</v>
      </c>
      <c r="D259" s="163" t="s">
        <v>391</v>
      </c>
      <c r="E259" s="169" t="s">
        <v>16</v>
      </c>
      <c r="F259" s="169"/>
      <c r="G259" s="167">
        <f t="shared" si="190"/>
        <v>200000</v>
      </c>
      <c r="H259" s="167">
        <f t="shared" si="190"/>
        <v>200000</v>
      </c>
      <c r="I259" s="167">
        <f t="shared" si="190"/>
        <v>200000</v>
      </c>
      <c r="J259" s="216">
        <f t="shared" si="163"/>
        <v>0</v>
      </c>
      <c r="K259" s="216"/>
      <c r="L259" s="167">
        <f t="shared" si="191"/>
        <v>200000</v>
      </c>
    </row>
    <row r="260" spans="1:12" ht="54" outlineLevel="7">
      <c r="A260" s="164" t="s">
        <v>17</v>
      </c>
      <c r="B260" s="163" t="s">
        <v>504</v>
      </c>
      <c r="C260" s="163" t="s">
        <v>59</v>
      </c>
      <c r="D260" s="163" t="s">
        <v>391</v>
      </c>
      <c r="E260" s="169" t="s">
        <v>18</v>
      </c>
      <c r="F260" s="169"/>
      <c r="G260" s="167">
        <v>200000</v>
      </c>
      <c r="H260" s="167">
        <v>200000</v>
      </c>
      <c r="I260" s="182">
        <v>200000</v>
      </c>
      <c r="J260" s="216">
        <f t="shared" si="163"/>
        <v>0</v>
      </c>
      <c r="K260" s="216"/>
      <c r="L260" s="182">
        <v>200000</v>
      </c>
    </row>
    <row r="261" spans="1:12" ht="72" outlineLevel="7">
      <c r="A261" s="164" t="s">
        <v>723</v>
      </c>
      <c r="B261" s="163" t="s">
        <v>504</v>
      </c>
      <c r="C261" s="163" t="s">
        <v>59</v>
      </c>
      <c r="D261" s="163" t="s">
        <v>722</v>
      </c>
      <c r="E261" s="163" t="s">
        <v>6</v>
      </c>
      <c r="F261" s="167">
        <f>F262</f>
        <v>6000000</v>
      </c>
      <c r="G261" s="167">
        <f>G262</f>
        <v>0</v>
      </c>
      <c r="H261" s="167">
        <f t="shared" ref="H261:I262" si="192">H262</f>
        <v>0</v>
      </c>
      <c r="I261" s="182">
        <f t="shared" si="192"/>
        <v>0</v>
      </c>
      <c r="J261" s="216">
        <f t="shared" si="163"/>
        <v>0</v>
      </c>
      <c r="K261" s="216"/>
      <c r="L261" s="182">
        <f t="shared" ref="L261:L262" si="193">L262</f>
        <v>0</v>
      </c>
    </row>
    <row r="262" spans="1:12" ht="36" outlineLevel="7">
      <c r="A262" s="164" t="s">
        <v>15</v>
      </c>
      <c r="B262" s="163" t="s">
        <v>504</v>
      </c>
      <c r="C262" s="163" t="s">
        <v>59</v>
      </c>
      <c r="D262" s="163" t="s">
        <v>722</v>
      </c>
      <c r="E262" s="163" t="s">
        <v>16</v>
      </c>
      <c r="F262" s="167">
        <f>F263</f>
        <v>6000000</v>
      </c>
      <c r="G262" s="167">
        <f>G263</f>
        <v>0</v>
      </c>
      <c r="H262" s="167">
        <f t="shared" si="192"/>
        <v>0</v>
      </c>
      <c r="I262" s="182">
        <f t="shared" si="192"/>
        <v>0</v>
      </c>
      <c r="J262" s="216">
        <f t="shared" si="163"/>
        <v>0</v>
      </c>
      <c r="K262" s="216"/>
      <c r="L262" s="182">
        <f t="shared" si="193"/>
        <v>0</v>
      </c>
    </row>
    <row r="263" spans="1:12" ht="54" outlineLevel="7">
      <c r="A263" s="164" t="s">
        <v>17</v>
      </c>
      <c r="B263" s="163" t="s">
        <v>504</v>
      </c>
      <c r="C263" s="163" t="s">
        <v>59</v>
      </c>
      <c r="D263" s="163" t="s">
        <v>722</v>
      </c>
      <c r="E263" s="163" t="s">
        <v>18</v>
      </c>
      <c r="F263" s="167">
        <v>6000000</v>
      </c>
      <c r="G263" s="167"/>
      <c r="H263" s="167"/>
      <c r="I263" s="182"/>
      <c r="J263" s="216">
        <f t="shared" si="163"/>
        <v>0</v>
      </c>
      <c r="K263" s="216"/>
      <c r="L263" s="182"/>
    </row>
    <row r="264" spans="1:12" ht="54" outlineLevel="7">
      <c r="A264" s="164" t="s">
        <v>693</v>
      </c>
      <c r="B264" s="163" t="s">
        <v>504</v>
      </c>
      <c r="C264" s="163" t="s">
        <v>59</v>
      </c>
      <c r="D264" s="163" t="s">
        <v>692</v>
      </c>
      <c r="E264" s="163" t="s">
        <v>6</v>
      </c>
      <c r="F264" s="167">
        <f>F265</f>
        <v>62000</v>
      </c>
      <c r="G264" s="167">
        <f>G265</f>
        <v>0</v>
      </c>
      <c r="H264" s="167">
        <f t="shared" ref="H264:I265" si="194">H265</f>
        <v>0</v>
      </c>
      <c r="I264" s="182">
        <f t="shared" si="194"/>
        <v>0</v>
      </c>
      <c r="J264" s="216">
        <f t="shared" si="163"/>
        <v>0</v>
      </c>
      <c r="K264" s="216"/>
      <c r="L264" s="182">
        <f t="shared" ref="L264:L265" si="195">L265</f>
        <v>0</v>
      </c>
    </row>
    <row r="265" spans="1:12" ht="36" outlineLevel="7">
      <c r="A265" s="164" t="s">
        <v>15</v>
      </c>
      <c r="B265" s="163" t="s">
        <v>504</v>
      </c>
      <c r="C265" s="163" t="s">
        <v>59</v>
      </c>
      <c r="D265" s="163" t="s">
        <v>692</v>
      </c>
      <c r="E265" s="163" t="s">
        <v>16</v>
      </c>
      <c r="F265" s="167">
        <f>F266</f>
        <v>62000</v>
      </c>
      <c r="G265" s="167">
        <f>G266</f>
        <v>0</v>
      </c>
      <c r="H265" s="167">
        <f t="shared" si="194"/>
        <v>0</v>
      </c>
      <c r="I265" s="182">
        <f t="shared" si="194"/>
        <v>0</v>
      </c>
      <c r="J265" s="216">
        <f t="shared" si="163"/>
        <v>0</v>
      </c>
      <c r="K265" s="216"/>
      <c r="L265" s="182">
        <f t="shared" si="195"/>
        <v>0</v>
      </c>
    </row>
    <row r="266" spans="1:12" ht="54" outlineLevel="7">
      <c r="A266" s="164" t="s">
        <v>17</v>
      </c>
      <c r="B266" s="163" t="s">
        <v>504</v>
      </c>
      <c r="C266" s="163" t="s">
        <v>59</v>
      </c>
      <c r="D266" s="163" t="s">
        <v>692</v>
      </c>
      <c r="E266" s="163" t="s">
        <v>18</v>
      </c>
      <c r="F266" s="167">
        <v>62000</v>
      </c>
      <c r="G266" s="167"/>
      <c r="H266" s="167"/>
      <c r="I266" s="182"/>
      <c r="J266" s="216">
        <f t="shared" si="163"/>
        <v>0</v>
      </c>
      <c r="K266" s="216"/>
      <c r="L266" s="182"/>
    </row>
    <row r="267" spans="1:12" outlineLevel="7">
      <c r="A267" s="200" t="s">
        <v>456</v>
      </c>
      <c r="B267" s="163" t="s">
        <v>504</v>
      </c>
      <c r="C267" s="163" t="s">
        <v>59</v>
      </c>
      <c r="D267" s="163" t="s">
        <v>714</v>
      </c>
      <c r="E267" s="163" t="s">
        <v>6</v>
      </c>
      <c r="F267" s="167">
        <f>F268</f>
        <v>155994081.63999999</v>
      </c>
      <c r="G267" s="167"/>
      <c r="H267" s="167"/>
      <c r="I267" s="182"/>
      <c r="J267" s="216">
        <f t="shared" si="163"/>
        <v>0</v>
      </c>
      <c r="K267" s="216"/>
      <c r="L267" s="182"/>
    </row>
    <row r="268" spans="1:12" ht="90" outlineLevel="7">
      <c r="A268" s="164" t="s">
        <v>461</v>
      </c>
      <c r="B268" s="163" t="s">
        <v>504</v>
      </c>
      <c r="C268" s="163" t="s">
        <v>59</v>
      </c>
      <c r="D268" s="163" t="s">
        <v>715</v>
      </c>
      <c r="E268" s="163" t="s">
        <v>6</v>
      </c>
      <c r="F268" s="167">
        <f>F269</f>
        <v>155994081.63999999</v>
      </c>
      <c r="G268" s="167"/>
      <c r="H268" s="167"/>
      <c r="I268" s="182"/>
      <c r="J268" s="216">
        <f t="shared" si="163"/>
        <v>0</v>
      </c>
      <c r="K268" s="216"/>
      <c r="L268" s="182"/>
    </row>
    <row r="269" spans="1:12" ht="54" outlineLevel="7">
      <c r="A269" s="164" t="s">
        <v>264</v>
      </c>
      <c r="B269" s="163" t="s">
        <v>504</v>
      </c>
      <c r="C269" s="163" t="s">
        <v>59</v>
      </c>
      <c r="D269" s="163" t="s">
        <v>715</v>
      </c>
      <c r="E269" s="163" t="s">
        <v>265</v>
      </c>
      <c r="F269" s="167">
        <f>F270</f>
        <v>155994081.63999999</v>
      </c>
      <c r="G269" s="167"/>
      <c r="H269" s="167"/>
      <c r="I269" s="182"/>
      <c r="J269" s="216">
        <f t="shared" si="163"/>
        <v>0</v>
      </c>
      <c r="K269" s="216"/>
      <c r="L269" s="182"/>
    </row>
    <row r="270" spans="1:12" outlineLevel="7">
      <c r="A270" s="164" t="s">
        <v>266</v>
      </c>
      <c r="B270" s="163" t="s">
        <v>504</v>
      </c>
      <c r="C270" s="163" t="s">
        <v>59</v>
      </c>
      <c r="D270" s="163" t="s">
        <v>715</v>
      </c>
      <c r="E270" s="163" t="s">
        <v>267</v>
      </c>
      <c r="F270" s="167">
        <f>143460299.73+12533781.91</f>
        <v>155994081.63999999</v>
      </c>
      <c r="G270" s="167"/>
      <c r="H270" s="167"/>
      <c r="I270" s="182"/>
      <c r="J270" s="216">
        <f t="shared" si="163"/>
        <v>0</v>
      </c>
      <c r="K270" s="216"/>
      <c r="L270" s="182"/>
    </row>
    <row r="271" spans="1:12" outlineLevel="7">
      <c r="A271" s="164" t="s">
        <v>61</v>
      </c>
      <c r="B271" s="163" t="s">
        <v>504</v>
      </c>
      <c r="C271" s="163" t="s">
        <v>62</v>
      </c>
      <c r="D271" s="163" t="s">
        <v>126</v>
      </c>
      <c r="E271" s="169" t="s">
        <v>6</v>
      </c>
      <c r="F271" s="167">
        <f>F272+F283+F294</f>
        <v>27421266.550000001</v>
      </c>
      <c r="G271" s="167">
        <f>G272+G283+G294</f>
        <v>26909370.300000001</v>
      </c>
      <c r="H271" s="167">
        <f>H272+H283+H294</f>
        <v>26807625.420000002</v>
      </c>
      <c r="I271" s="182">
        <f>I272+I283+I294</f>
        <v>25757625.420000002</v>
      </c>
      <c r="J271" s="216">
        <f t="shared" si="163"/>
        <v>-1050000</v>
      </c>
      <c r="K271" s="216"/>
      <c r="L271" s="182">
        <f>L272+L283+L294</f>
        <v>36557625.420000002</v>
      </c>
    </row>
    <row r="272" spans="1:12" ht="81.75" customHeight="1" outlineLevel="7">
      <c r="A272" s="196" t="s">
        <v>348</v>
      </c>
      <c r="B272" s="163" t="s">
        <v>504</v>
      </c>
      <c r="C272" s="197" t="s">
        <v>62</v>
      </c>
      <c r="D272" s="197" t="s">
        <v>134</v>
      </c>
      <c r="E272" s="198" t="s">
        <v>6</v>
      </c>
      <c r="F272" s="171">
        <f>F273</f>
        <v>550000</v>
      </c>
      <c r="G272" s="167">
        <f>G273</f>
        <v>550000</v>
      </c>
      <c r="H272" s="167">
        <f>H273</f>
        <v>3492316</v>
      </c>
      <c r="I272" s="182">
        <f>I273</f>
        <v>2992316</v>
      </c>
      <c r="J272" s="216">
        <f t="shared" si="163"/>
        <v>-500000</v>
      </c>
      <c r="K272" s="216"/>
      <c r="L272" s="182">
        <f>L273</f>
        <v>2992316</v>
      </c>
    </row>
    <row r="273" spans="1:12" ht="36" outlineLevel="7">
      <c r="A273" s="164" t="s">
        <v>354</v>
      </c>
      <c r="B273" s="163" t="s">
        <v>504</v>
      </c>
      <c r="C273" s="163" t="s">
        <v>62</v>
      </c>
      <c r="D273" s="163" t="s">
        <v>232</v>
      </c>
      <c r="E273" s="169" t="s">
        <v>6</v>
      </c>
      <c r="F273" s="167">
        <f>F274+F280+F277</f>
        <v>550000</v>
      </c>
      <c r="G273" s="167">
        <f t="shared" ref="G273:I273" si="196">G274+G280+G277</f>
        <v>550000</v>
      </c>
      <c r="H273" s="167">
        <f t="shared" si="196"/>
        <v>3492316</v>
      </c>
      <c r="I273" s="167">
        <f t="shared" si="196"/>
        <v>2992316</v>
      </c>
      <c r="J273" s="216">
        <f t="shared" si="163"/>
        <v>-500000</v>
      </c>
      <c r="K273" s="216"/>
      <c r="L273" s="167">
        <f t="shared" ref="L273" si="197">L274+L280+L277</f>
        <v>2992316</v>
      </c>
    </row>
    <row r="274" spans="1:12" ht="36" outlineLevel="7">
      <c r="A274" s="164" t="s">
        <v>360</v>
      </c>
      <c r="B274" s="163" t="s">
        <v>504</v>
      </c>
      <c r="C274" s="163" t="s">
        <v>62</v>
      </c>
      <c r="D274" s="163" t="s">
        <v>462</v>
      </c>
      <c r="E274" s="169" t="s">
        <v>6</v>
      </c>
      <c r="F274" s="167">
        <f>F275</f>
        <v>200000</v>
      </c>
      <c r="G274" s="167">
        <f t="shared" ref="G274:I275" si="198">G275</f>
        <v>200000</v>
      </c>
      <c r="H274" s="167">
        <f t="shared" si="198"/>
        <v>200000</v>
      </c>
      <c r="I274" s="182">
        <f t="shared" si="198"/>
        <v>200000</v>
      </c>
      <c r="J274" s="216">
        <f t="shared" si="163"/>
        <v>0</v>
      </c>
      <c r="K274" s="216"/>
      <c r="L274" s="182">
        <f t="shared" ref="L274:L275" si="199">L275</f>
        <v>200000</v>
      </c>
    </row>
    <row r="275" spans="1:12" ht="20.25" customHeight="1" outlineLevel="7">
      <c r="A275" s="33" t="s">
        <v>15</v>
      </c>
      <c r="B275" s="163" t="s">
        <v>504</v>
      </c>
      <c r="C275" s="163" t="s">
        <v>62</v>
      </c>
      <c r="D275" s="163" t="s">
        <v>462</v>
      </c>
      <c r="E275" s="169" t="s">
        <v>16</v>
      </c>
      <c r="F275" s="167">
        <f>F276</f>
        <v>200000</v>
      </c>
      <c r="G275" s="167">
        <f t="shared" si="198"/>
        <v>200000</v>
      </c>
      <c r="H275" s="167">
        <f t="shared" si="198"/>
        <v>200000</v>
      </c>
      <c r="I275" s="182">
        <f t="shared" si="198"/>
        <v>200000</v>
      </c>
      <c r="J275" s="216">
        <f t="shared" si="163"/>
        <v>0</v>
      </c>
      <c r="K275" s="216"/>
      <c r="L275" s="182">
        <f t="shared" si="199"/>
        <v>200000</v>
      </c>
    </row>
    <row r="276" spans="1:12" ht="54" outlineLevel="7">
      <c r="A276" s="33" t="s">
        <v>17</v>
      </c>
      <c r="B276" s="163" t="s">
        <v>504</v>
      </c>
      <c r="C276" s="163" t="s">
        <v>62</v>
      </c>
      <c r="D276" s="163" t="s">
        <v>462</v>
      </c>
      <c r="E276" s="169" t="s">
        <v>18</v>
      </c>
      <c r="F276" s="167">
        <v>200000</v>
      </c>
      <c r="G276" s="167">
        <v>200000</v>
      </c>
      <c r="H276" s="167">
        <v>200000</v>
      </c>
      <c r="I276" s="182">
        <v>200000</v>
      </c>
      <c r="J276" s="216">
        <f t="shared" si="163"/>
        <v>0</v>
      </c>
      <c r="K276" s="216"/>
      <c r="L276" s="182">
        <v>200000</v>
      </c>
    </row>
    <row r="277" spans="1:12" ht="72" outlineLevel="7">
      <c r="A277" s="33" t="s">
        <v>782</v>
      </c>
      <c r="B277" s="163" t="s">
        <v>504</v>
      </c>
      <c r="C277" s="163" t="s">
        <v>62</v>
      </c>
      <c r="D277" s="163" t="s">
        <v>781</v>
      </c>
      <c r="E277" s="169" t="s">
        <v>6</v>
      </c>
      <c r="F277" s="167">
        <f>F278</f>
        <v>0</v>
      </c>
      <c r="G277" s="167">
        <f t="shared" ref="G277:I278" si="200">G278</f>
        <v>0</v>
      </c>
      <c r="H277" s="167">
        <f t="shared" si="200"/>
        <v>2292316</v>
      </c>
      <c r="I277" s="167">
        <f>I278</f>
        <v>2292316</v>
      </c>
      <c r="J277" s="216">
        <f t="shared" si="163"/>
        <v>0</v>
      </c>
      <c r="K277" s="216"/>
      <c r="L277" s="167">
        <f>L278</f>
        <v>2292316</v>
      </c>
    </row>
    <row r="278" spans="1:12" ht="36" outlineLevel="7">
      <c r="A278" s="33" t="s">
        <v>15</v>
      </c>
      <c r="B278" s="163" t="s">
        <v>504</v>
      </c>
      <c r="C278" s="163" t="s">
        <v>62</v>
      </c>
      <c r="D278" s="163" t="s">
        <v>781</v>
      </c>
      <c r="E278" s="169" t="s">
        <v>16</v>
      </c>
      <c r="F278" s="167">
        <f>F279</f>
        <v>0</v>
      </c>
      <c r="G278" s="167">
        <f t="shared" si="200"/>
        <v>0</v>
      </c>
      <c r="H278" s="167">
        <f t="shared" si="200"/>
        <v>2292316</v>
      </c>
      <c r="I278" s="167">
        <f t="shared" si="200"/>
        <v>2292316</v>
      </c>
      <c r="J278" s="216">
        <f t="shared" si="163"/>
        <v>0</v>
      </c>
      <c r="K278" s="216"/>
      <c r="L278" s="167">
        <f t="shared" ref="L278" si="201">L279</f>
        <v>2292316</v>
      </c>
    </row>
    <row r="279" spans="1:12" ht="54" outlineLevel="7">
      <c r="A279" s="33" t="s">
        <v>17</v>
      </c>
      <c r="B279" s="163" t="s">
        <v>504</v>
      </c>
      <c r="C279" s="163" t="s">
        <v>62</v>
      </c>
      <c r="D279" s="163" t="s">
        <v>781</v>
      </c>
      <c r="E279" s="169" t="s">
        <v>18</v>
      </c>
      <c r="F279" s="167">
        <v>0</v>
      </c>
      <c r="G279" s="167">
        <v>0</v>
      </c>
      <c r="H279" s="167">
        <v>2292316</v>
      </c>
      <c r="I279" s="182">
        <v>2292316</v>
      </c>
      <c r="J279" s="216">
        <f t="shared" si="163"/>
        <v>0</v>
      </c>
      <c r="K279" s="216"/>
      <c r="L279" s="182">
        <v>2292316</v>
      </c>
    </row>
    <row r="280" spans="1:12" ht="18.75" customHeight="1" outlineLevel="7">
      <c r="A280" s="164" t="s">
        <v>63</v>
      </c>
      <c r="B280" s="163" t="s">
        <v>504</v>
      </c>
      <c r="C280" s="163" t="s">
        <v>62</v>
      </c>
      <c r="D280" s="163" t="s">
        <v>355</v>
      </c>
      <c r="E280" s="169" t="s">
        <v>6</v>
      </c>
      <c r="F280" s="167">
        <f>F281</f>
        <v>350000</v>
      </c>
      <c r="G280" s="167">
        <f t="shared" ref="G280:I281" si="202">G281</f>
        <v>350000</v>
      </c>
      <c r="H280" s="167">
        <f t="shared" si="202"/>
        <v>1000000</v>
      </c>
      <c r="I280" s="182">
        <f t="shared" si="202"/>
        <v>500000</v>
      </c>
      <c r="J280" s="216">
        <f t="shared" si="163"/>
        <v>-500000</v>
      </c>
      <c r="K280" s="216"/>
      <c r="L280" s="182">
        <f t="shared" ref="L280:L281" si="203">L281</f>
        <v>500000</v>
      </c>
    </row>
    <row r="281" spans="1:12" ht="19.5" customHeight="1" outlineLevel="7">
      <c r="A281" s="164" t="s">
        <v>15</v>
      </c>
      <c r="B281" s="163" t="s">
        <v>504</v>
      </c>
      <c r="C281" s="163" t="s">
        <v>62</v>
      </c>
      <c r="D281" s="163" t="s">
        <v>355</v>
      </c>
      <c r="E281" s="169" t="s">
        <v>16</v>
      </c>
      <c r="F281" s="167">
        <f>F282</f>
        <v>350000</v>
      </c>
      <c r="G281" s="167">
        <f t="shared" si="202"/>
        <v>350000</v>
      </c>
      <c r="H281" s="167">
        <f t="shared" si="202"/>
        <v>1000000</v>
      </c>
      <c r="I281" s="182">
        <f t="shared" si="202"/>
        <v>500000</v>
      </c>
      <c r="J281" s="216">
        <f t="shared" si="163"/>
        <v>-500000</v>
      </c>
      <c r="K281" s="216"/>
      <c r="L281" s="182">
        <f t="shared" si="203"/>
        <v>500000</v>
      </c>
    </row>
    <row r="282" spans="1:12" ht="54" outlineLevel="1">
      <c r="A282" s="164" t="s">
        <v>17</v>
      </c>
      <c r="B282" s="163" t="s">
        <v>504</v>
      </c>
      <c r="C282" s="163" t="s">
        <v>62</v>
      </c>
      <c r="D282" s="163" t="s">
        <v>355</v>
      </c>
      <c r="E282" s="169" t="s">
        <v>18</v>
      </c>
      <c r="F282" s="167">
        <v>350000</v>
      </c>
      <c r="G282" s="167">
        <v>350000</v>
      </c>
      <c r="H282" s="184">
        <v>1000000</v>
      </c>
      <c r="I282" s="195">
        <v>500000</v>
      </c>
      <c r="J282" s="216">
        <f t="shared" si="163"/>
        <v>-500000</v>
      </c>
      <c r="K282" s="216"/>
      <c r="L282" s="195">
        <v>500000</v>
      </c>
    </row>
    <row r="283" spans="1:12" ht="72" outlineLevel="1">
      <c r="A283" s="196" t="s">
        <v>512</v>
      </c>
      <c r="B283" s="197" t="s">
        <v>504</v>
      </c>
      <c r="C283" s="197" t="s">
        <v>62</v>
      </c>
      <c r="D283" s="197" t="s">
        <v>513</v>
      </c>
      <c r="E283" s="198" t="s">
        <v>6</v>
      </c>
      <c r="F283" s="171">
        <f>F284</f>
        <v>10960858.32</v>
      </c>
      <c r="G283" s="167">
        <f>G284</f>
        <v>5896668.3799999999</v>
      </c>
      <c r="H283" s="167">
        <f>H284</f>
        <v>8347000</v>
      </c>
      <c r="I283" s="182">
        <f>I284</f>
        <v>7797000</v>
      </c>
      <c r="J283" s="216">
        <f t="shared" si="163"/>
        <v>-550000</v>
      </c>
      <c r="K283" s="216"/>
      <c r="L283" s="182">
        <f>L284</f>
        <v>10797000</v>
      </c>
    </row>
    <row r="284" spans="1:12" ht="36" outlineLevel="1">
      <c r="A284" s="164" t="s">
        <v>514</v>
      </c>
      <c r="B284" s="163" t="s">
        <v>504</v>
      </c>
      <c r="C284" s="163" t="s">
        <v>62</v>
      </c>
      <c r="D284" s="163" t="s">
        <v>515</v>
      </c>
      <c r="E284" s="169" t="s">
        <v>6</v>
      </c>
      <c r="F284" s="167">
        <f>F285+F288+F291</f>
        <v>10960858.32</v>
      </c>
      <c r="G284" s="167">
        <f>G285+G288+G291</f>
        <v>5896668.3799999999</v>
      </c>
      <c r="H284" s="167">
        <f>H285+H288+H291</f>
        <v>8347000</v>
      </c>
      <c r="I284" s="182">
        <f>I285+I288+I291</f>
        <v>7797000</v>
      </c>
      <c r="J284" s="216">
        <f t="shared" ref="J284:J350" si="204">I284-H284</f>
        <v>-550000</v>
      </c>
      <c r="K284" s="216"/>
      <c r="L284" s="182">
        <f>L285+L288+L291</f>
        <v>10797000</v>
      </c>
    </row>
    <row r="285" spans="1:12" ht="72" outlineLevel="1">
      <c r="A285" s="164" t="s">
        <v>516</v>
      </c>
      <c r="B285" s="163" t="s">
        <v>504</v>
      </c>
      <c r="C285" s="163" t="s">
        <v>62</v>
      </c>
      <c r="D285" s="163" t="s">
        <v>517</v>
      </c>
      <c r="E285" s="169" t="s">
        <v>6</v>
      </c>
      <c r="F285" s="167">
        <f>F286</f>
        <v>2000000</v>
      </c>
      <c r="G285" s="167">
        <f t="shared" ref="G285:I286" si="205">G286</f>
        <v>1896668.38</v>
      </c>
      <c r="H285" s="167">
        <f t="shared" si="205"/>
        <v>2050000</v>
      </c>
      <c r="I285" s="182">
        <f t="shared" si="205"/>
        <v>1500000</v>
      </c>
      <c r="J285" s="216">
        <f t="shared" si="204"/>
        <v>-550000</v>
      </c>
      <c r="K285" s="216"/>
      <c r="L285" s="182">
        <f t="shared" ref="L285:L286" si="206">L286</f>
        <v>1500000</v>
      </c>
    </row>
    <row r="286" spans="1:12" ht="19.5" customHeight="1" outlineLevel="1">
      <c r="A286" s="164" t="s">
        <v>15</v>
      </c>
      <c r="B286" s="163" t="s">
        <v>504</v>
      </c>
      <c r="C286" s="163" t="s">
        <v>62</v>
      </c>
      <c r="D286" s="163" t="s">
        <v>517</v>
      </c>
      <c r="E286" s="169" t="s">
        <v>16</v>
      </c>
      <c r="F286" s="167">
        <f>F287</f>
        <v>2000000</v>
      </c>
      <c r="G286" s="167">
        <f t="shared" si="205"/>
        <v>1896668.38</v>
      </c>
      <c r="H286" s="167">
        <f t="shared" si="205"/>
        <v>2050000</v>
      </c>
      <c r="I286" s="182">
        <f t="shared" si="205"/>
        <v>1500000</v>
      </c>
      <c r="J286" s="216">
        <f t="shared" si="204"/>
        <v>-550000</v>
      </c>
      <c r="K286" s="216"/>
      <c r="L286" s="182">
        <f t="shared" si="206"/>
        <v>1500000</v>
      </c>
    </row>
    <row r="287" spans="1:12" ht="54" outlineLevel="1">
      <c r="A287" s="164" t="s">
        <v>17</v>
      </c>
      <c r="B287" s="163" t="s">
        <v>504</v>
      </c>
      <c r="C287" s="163" t="s">
        <v>62</v>
      </c>
      <c r="D287" s="163" t="s">
        <v>517</v>
      </c>
      <c r="E287" s="169" t="s">
        <v>18</v>
      </c>
      <c r="F287" s="167">
        <v>2000000</v>
      </c>
      <c r="G287" s="167">
        <v>1896668.38</v>
      </c>
      <c r="H287" s="184">
        <v>2050000</v>
      </c>
      <c r="I287" s="195">
        <f>1500000</f>
        <v>1500000</v>
      </c>
      <c r="J287" s="216">
        <f t="shared" si="204"/>
        <v>-550000</v>
      </c>
      <c r="K287" s="216"/>
      <c r="L287" s="195">
        <f>1500000</f>
        <v>1500000</v>
      </c>
    </row>
    <row r="288" spans="1:12" ht="72" outlineLevel="1">
      <c r="A288" s="164" t="s">
        <v>518</v>
      </c>
      <c r="B288" s="163" t="s">
        <v>504</v>
      </c>
      <c r="C288" s="163" t="s">
        <v>62</v>
      </c>
      <c r="D288" s="163" t="s">
        <v>519</v>
      </c>
      <c r="E288" s="169" t="s">
        <v>6</v>
      </c>
      <c r="F288" s="167">
        <f>F289</f>
        <v>3751000</v>
      </c>
      <c r="G288" s="167">
        <f t="shared" ref="G288:I289" si="207">G289</f>
        <v>1500000</v>
      </c>
      <c r="H288" s="167">
        <f t="shared" si="207"/>
        <v>3621000</v>
      </c>
      <c r="I288" s="182">
        <f t="shared" si="207"/>
        <v>3621000</v>
      </c>
      <c r="J288" s="216">
        <f t="shared" si="204"/>
        <v>0</v>
      </c>
      <c r="K288" s="216"/>
      <c r="L288" s="182">
        <f t="shared" ref="L288:L289" si="208">L289</f>
        <v>3621000</v>
      </c>
    </row>
    <row r="289" spans="1:12" ht="21.15" customHeight="1" outlineLevel="1">
      <c r="A289" s="164" t="s">
        <v>15</v>
      </c>
      <c r="B289" s="163" t="s">
        <v>504</v>
      </c>
      <c r="C289" s="163" t="s">
        <v>62</v>
      </c>
      <c r="D289" s="163" t="s">
        <v>519</v>
      </c>
      <c r="E289" s="169" t="s">
        <v>16</v>
      </c>
      <c r="F289" s="167">
        <f>F290</f>
        <v>3751000</v>
      </c>
      <c r="G289" s="167">
        <f t="shared" si="207"/>
        <v>1500000</v>
      </c>
      <c r="H289" s="167">
        <f t="shared" si="207"/>
        <v>3621000</v>
      </c>
      <c r="I289" s="182">
        <f t="shared" si="207"/>
        <v>3621000</v>
      </c>
      <c r="J289" s="216">
        <f t="shared" si="204"/>
        <v>0</v>
      </c>
      <c r="K289" s="216"/>
      <c r="L289" s="182">
        <f t="shared" si="208"/>
        <v>3621000</v>
      </c>
    </row>
    <row r="290" spans="1:12" ht="54" outlineLevel="1">
      <c r="A290" s="164" t="s">
        <v>17</v>
      </c>
      <c r="B290" s="163" t="s">
        <v>504</v>
      </c>
      <c r="C290" s="163" t="s">
        <v>62</v>
      </c>
      <c r="D290" s="163" t="s">
        <v>519</v>
      </c>
      <c r="E290" s="169" t="s">
        <v>18</v>
      </c>
      <c r="F290" s="167">
        <f>1500000+1951000+300000</f>
        <v>3751000</v>
      </c>
      <c r="G290" s="167">
        <v>1500000</v>
      </c>
      <c r="H290" s="184">
        <v>3621000</v>
      </c>
      <c r="I290" s="195">
        <v>3621000</v>
      </c>
      <c r="J290" s="216">
        <f t="shared" si="204"/>
        <v>0</v>
      </c>
      <c r="K290" s="216"/>
      <c r="L290" s="195">
        <v>3621000</v>
      </c>
    </row>
    <row r="291" spans="1:12" ht="47.25" customHeight="1" outlineLevel="1">
      <c r="A291" s="164" t="s">
        <v>520</v>
      </c>
      <c r="B291" s="163" t="s">
        <v>504</v>
      </c>
      <c r="C291" s="163" t="s">
        <v>62</v>
      </c>
      <c r="D291" s="163" t="s">
        <v>521</v>
      </c>
      <c r="E291" s="169" t="s">
        <v>6</v>
      </c>
      <c r="F291" s="167">
        <f>F292</f>
        <v>5209858.32</v>
      </c>
      <c r="G291" s="167">
        <f t="shared" ref="G291:I292" si="209">G292</f>
        <v>2500000</v>
      </c>
      <c r="H291" s="167">
        <f t="shared" si="209"/>
        <v>2676000</v>
      </c>
      <c r="I291" s="182">
        <f t="shared" si="209"/>
        <v>2676000</v>
      </c>
      <c r="J291" s="216">
        <f t="shared" si="204"/>
        <v>0</v>
      </c>
      <c r="K291" s="216"/>
      <c r="L291" s="182">
        <f t="shared" ref="L291:L292" si="210">L292</f>
        <v>5676000</v>
      </c>
    </row>
    <row r="292" spans="1:12" ht="21.75" customHeight="1" outlineLevel="1">
      <c r="A292" s="164" t="s">
        <v>15</v>
      </c>
      <c r="B292" s="163" t="s">
        <v>504</v>
      </c>
      <c r="C292" s="163" t="s">
        <v>62</v>
      </c>
      <c r="D292" s="163" t="s">
        <v>521</v>
      </c>
      <c r="E292" s="169" t="s">
        <v>16</v>
      </c>
      <c r="F292" s="167">
        <f>F293</f>
        <v>5209858.32</v>
      </c>
      <c r="G292" s="167">
        <f t="shared" si="209"/>
        <v>2500000</v>
      </c>
      <c r="H292" s="167">
        <f t="shared" si="209"/>
        <v>2676000</v>
      </c>
      <c r="I292" s="182">
        <f t="shared" si="209"/>
        <v>2676000</v>
      </c>
      <c r="J292" s="216">
        <f t="shared" si="204"/>
        <v>0</v>
      </c>
      <c r="K292" s="216"/>
      <c r="L292" s="182">
        <f t="shared" si="210"/>
        <v>5676000</v>
      </c>
    </row>
    <row r="293" spans="1:12" ht="54" outlineLevel="1">
      <c r="A293" s="164" t="s">
        <v>17</v>
      </c>
      <c r="B293" s="163" t="s">
        <v>504</v>
      </c>
      <c r="C293" s="163" t="s">
        <v>62</v>
      </c>
      <c r="D293" s="163" t="s">
        <v>521</v>
      </c>
      <c r="E293" s="169" t="s">
        <v>18</v>
      </c>
      <c r="F293" s="167">
        <v>5209858.32</v>
      </c>
      <c r="G293" s="167">
        <v>2500000</v>
      </c>
      <c r="H293" s="184">
        <v>2676000</v>
      </c>
      <c r="I293" s="195">
        <f>2676000</f>
        <v>2676000</v>
      </c>
      <c r="J293" s="216">
        <f t="shared" si="204"/>
        <v>0</v>
      </c>
      <c r="K293" s="216">
        <v>3000000</v>
      </c>
      <c r="L293" s="195">
        <f>2676000+3000000</f>
        <v>5676000</v>
      </c>
    </row>
    <row r="294" spans="1:12" ht="37.5" customHeight="1" outlineLevel="1">
      <c r="A294" s="196" t="s">
        <v>522</v>
      </c>
      <c r="B294" s="197" t="s">
        <v>504</v>
      </c>
      <c r="C294" s="197" t="s">
        <v>62</v>
      </c>
      <c r="D294" s="197" t="s">
        <v>523</v>
      </c>
      <c r="E294" s="198" t="s">
        <v>6</v>
      </c>
      <c r="F294" s="171">
        <f>F295+F303</f>
        <v>15910408.23</v>
      </c>
      <c r="G294" s="167">
        <f>G295+G303</f>
        <v>20462701.920000002</v>
      </c>
      <c r="H294" s="167">
        <f>H295+H303</f>
        <v>14968309.42</v>
      </c>
      <c r="I294" s="182">
        <f>I295+I303</f>
        <v>14968309.42</v>
      </c>
      <c r="J294" s="216">
        <f t="shared" si="204"/>
        <v>0</v>
      </c>
      <c r="K294" s="216"/>
      <c r="L294" s="182">
        <f>L295+L303</f>
        <v>22768309.420000002</v>
      </c>
    </row>
    <row r="295" spans="1:12" ht="37.5" customHeight="1" outlineLevel="1">
      <c r="A295" s="196" t="s">
        <v>554</v>
      </c>
      <c r="B295" s="197" t="s">
        <v>504</v>
      </c>
      <c r="C295" s="197" t="s">
        <v>62</v>
      </c>
      <c r="D295" s="197" t="s">
        <v>555</v>
      </c>
      <c r="E295" s="198" t="s">
        <v>6</v>
      </c>
      <c r="F295" s="171">
        <f>F296</f>
        <v>8282327.9500000002</v>
      </c>
      <c r="G295" s="167">
        <f>G296+G300</f>
        <v>7018314.5600000005</v>
      </c>
      <c r="H295" s="167">
        <f>H296+H300</f>
        <v>6967934.4000000004</v>
      </c>
      <c r="I295" s="182">
        <f t="shared" ref="I295" si="211">I296+I300</f>
        <v>6967934.4000000004</v>
      </c>
      <c r="J295" s="216">
        <f t="shared" si="204"/>
        <v>0</v>
      </c>
      <c r="K295" s="216"/>
      <c r="L295" s="182">
        <f t="shared" ref="L295" si="212">L296+L300</f>
        <v>6967934.4000000004</v>
      </c>
    </row>
    <row r="296" spans="1:12" ht="20.25" customHeight="1" outlineLevel="1">
      <c r="A296" s="164" t="s">
        <v>553</v>
      </c>
      <c r="B296" s="163" t="s">
        <v>504</v>
      </c>
      <c r="C296" s="163" t="s">
        <v>62</v>
      </c>
      <c r="D296" s="163" t="s">
        <v>556</v>
      </c>
      <c r="E296" s="169" t="s">
        <v>6</v>
      </c>
      <c r="F296" s="167">
        <f>F297+F300</f>
        <v>8282327.9500000002</v>
      </c>
      <c r="G296" s="167">
        <f t="shared" ref="G296:I298" si="213">G297</f>
        <v>6752074.9400000004</v>
      </c>
      <c r="H296" s="167">
        <f t="shared" si="213"/>
        <v>6752074.9400000004</v>
      </c>
      <c r="I296" s="182">
        <f t="shared" si="213"/>
        <v>6642788.6500000004</v>
      </c>
      <c r="J296" s="216">
        <f t="shared" si="204"/>
        <v>-109286.29000000004</v>
      </c>
      <c r="K296" s="216"/>
      <c r="L296" s="182">
        <f t="shared" ref="L296:L298" si="214">L297</f>
        <v>6642788.6500000004</v>
      </c>
    </row>
    <row r="297" spans="1:12" ht="20.25" customHeight="1" outlineLevel="1">
      <c r="A297" s="164" t="s">
        <v>552</v>
      </c>
      <c r="B297" s="163" t="s">
        <v>504</v>
      </c>
      <c r="C297" s="163" t="s">
        <v>62</v>
      </c>
      <c r="D297" s="163" t="s">
        <v>557</v>
      </c>
      <c r="E297" s="169" t="s">
        <v>6</v>
      </c>
      <c r="F297" s="167">
        <f>F298</f>
        <v>6850012.1100000003</v>
      </c>
      <c r="G297" s="167">
        <f t="shared" si="213"/>
        <v>6752074.9400000004</v>
      </c>
      <c r="H297" s="167">
        <f t="shared" si="213"/>
        <v>6752074.9400000004</v>
      </c>
      <c r="I297" s="182">
        <f t="shared" si="213"/>
        <v>6642788.6500000004</v>
      </c>
      <c r="J297" s="216">
        <f t="shared" si="204"/>
        <v>-109286.29000000004</v>
      </c>
      <c r="K297" s="216"/>
      <c r="L297" s="182">
        <f t="shared" si="214"/>
        <v>6642788.6500000004</v>
      </c>
    </row>
    <row r="298" spans="1:12" ht="21.15" customHeight="1" outlineLevel="1">
      <c r="A298" s="164" t="s">
        <v>15</v>
      </c>
      <c r="B298" s="163" t="s">
        <v>504</v>
      </c>
      <c r="C298" s="163" t="s">
        <v>62</v>
      </c>
      <c r="D298" s="163" t="s">
        <v>557</v>
      </c>
      <c r="E298" s="169" t="s">
        <v>16</v>
      </c>
      <c r="F298" s="167">
        <f>F299</f>
        <v>6850012.1100000003</v>
      </c>
      <c r="G298" s="167">
        <f t="shared" si="213"/>
        <v>6752074.9400000004</v>
      </c>
      <c r="H298" s="167">
        <f t="shared" si="213"/>
        <v>6752074.9400000004</v>
      </c>
      <c r="I298" s="182">
        <f t="shared" si="213"/>
        <v>6642788.6500000004</v>
      </c>
      <c r="J298" s="216">
        <f t="shared" si="204"/>
        <v>-109286.29000000004</v>
      </c>
      <c r="K298" s="216"/>
      <c r="L298" s="182">
        <f t="shared" si="214"/>
        <v>6642788.6500000004</v>
      </c>
    </row>
    <row r="299" spans="1:12" ht="20.25" customHeight="1" outlineLevel="1">
      <c r="A299" s="164" t="s">
        <v>17</v>
      </c>
      <c r="B299" s="163" t="s">
        <v>504</v>
      </c>
      <c r="C299" s="163" t="s">
        <v>62</v>
      </c>
      <c r="D299" s="163" t="s">
        <v>557</v>
      </c>
      <c r="E299" s="169" t="s">
        <v>18</v>
      </c>
      <c r="F299" s="167">
        <v>6850012.1100000003</v>
      </c>
      <c r="G299" s="167">
        <v>6752074.9400000004</v>
      </c>
      <c r="H299" s="167">
        <v>6752074.9400000004</v>
      </c>
      <c r="I299" s="182">
        <v>6642788.6500000004</v>
      </c>
      <c r="J299" s="216">
        <f t="shared" si="204"/>
        <v>-109286.29000000004</v>
      </c>
      <c r="K299" s="216"/>
      <c r="L299" s="182">
        <v>6642788.6500000004</v>
      </c>
    </row>
    <row r="300" spans="1:12" ht="20.25" customHeight="1" outlineLevel="1">
      <c r="A300" s="33" t="s">
        <v>691</v>
      </c>
      <c r="B300" s="163" t="s">
        <v>504</v>
      </c>
      <c r="C300" s="163" t="s">
        <v>62</v>
      </c>
      <c r="D300" s="163" t="s">
        <v>738</v>
      </c>
      <c r="E300" s="163" t="s">
        <v>6</v>
      </c>
      <c r="F300" s="167">
        <f>F301</f>
        <v>1432315.84</v>
      </c>
      <c r="G300" s="167">
        <f>G301</f>
        <v>266239.62</v>
      </c>
      <c r="H300" s="167">
        <f t="shared" ref="H300:I301" si="215">H301</f>
        <v>215859.46</v>
      </c>
      <c r="I300" s="182">
        <f t="shared" si="215"/>
        <v>325145.75</v>
      </c>
      <c r="J300" s="216">
        <f t="shared" si="204"/>
        <v>109286.29000000001</v>
      </c>
      <c r="K300" s="216"/>
      <c r="L300" s="182">
        <f t="shared" ref="L300:L301" si="216">L301</f>
        <v>325145.75</v>
      </c>
    </row>
    <row r="301" spans="1:12" ht="20.25" customHeight="1" outlineLevel="1">
      <c r="A301" s="164" t="s">
        <v>15</v>
      </c>
      <c r="B301" s="163" t="s">
        <v>504</v>
      </c>
      <c r="C301" s="163" t="s">
        <v>62</v>
      </c>
      <c r="D301" s="163" t="s">
        <v>738</v>
      </c>
      <c r="E301" s="163" t="s">
        <v>16</v>
      </c>
      <c r="F301" s="167">
        <f>F302</f>
        <v>1432315.84</v>
      </c>
      <c r="G301" s="167">
        <f>G302</f>
        <v>266239.62</v>
      </c>
      <c r="H301" s="167">
        <f t="shared" si="215"/>
        <v>215859.46</v>
      </c>
      <c r="I301" s="182">
        <f t="shared" si="215"/>
        <v>325145.75</v>
      </c>
      <c r="J301" s="216">
        <f t="shared" si="204"/>
        <v>109286.29000000001</v>
      </c>
      <c r="K301" s="216"/>
      <c r="L301" s="182">
        <f t="shared" si="216"/>
        <v>325145.75</v>
      </c>
    </row>
    <row r="302" spans="1:12" ht="20.25" customHeight="1" outlineLevel="1">
      <c r="A302" s="164" t="s">
        <v>17</v>
      </c>
      <c r="B302" s="163" t="s">
        <v>504</v>
      </c>
      <c r="C302" s="163" t="s">
        <v>62</v>
      </c>
      <c r="D302" s="163" t="s">
        <v>738</v>
      </c>
      <c r="E302" s="163" t="s">
        <v>18</v>
      </c>
      <c r="F302" s="167">
        <v>1432315.84</v>
      </c>
      <c r="G302" s="167">
        <v>266239.62</v>
      </c>
      <c r="H302" s="167">
        <v>215859.46</v>
      </c>
      <c r="I302" s="182">
        <f>215859.46+109286.29</f>
        <v>325145.75</v>
      </c>
      <c r="J302" s="216">
        <f t="shared" si="204"/>
        <v>109286.29000000001</v>
      </c>
      <c r="K302" s="216"/>
      <c r="L302" s="182">
        <f>215859.46+109286.29</f>
        <v>325145.75</v>
      </c>
    </row>
    <row r="303" spans="1:12" ht="72" outlineLevel="1">
      <c r="A303" s="208" t="s">
        <v>558</v>
      </c>
      <c r="B303" s="163" t="s">
        <v>504</v>
      </c>
      <c r="C303" s="163" t="s">
        <v>62</v>
      </c>
      <c r="D303" s="197" t="s">
        <v>560</v>
      </c>
      <c r="E303" s="198" t="s">
        <v>6</v>
      </c>
      <c r="F303" s="171">
        <f>F304</f>
        <v>7628080.2799999993</v>
      </c>
      <c r="G303" s="167">
        <f t="shared" ref="G303:I309" si="217">G304</f>
        <v>13444387.359999999</v>
      </c>
      <c r="H303" s="167">
        <f t="shared" si="217"/>
        <v>8000375.0199999996</v>
      </c>
      <c r="I303" s="182">
        <f t="shared" si="217"/>
        <v>8000375.0199999996</v>
      </c>
      <c r="J303" s="216">
        <f t="shared" si="204"/>
        <v>0</v>
      </c>
      <c r="K303" s="216"/>
      <c r="L303" s="182">
        <f t="shared" ref="L303:L309" si="218">L304</f>
        <v>15800375.02</v>
      </c>
    </row>
    <row r="304" spans="1:12" ht="54" outlineLevel="1">
      <c r="A304" s="208" t="s">
        <v>559</v>
      </c>
      <c r="B304" s="163" t="s">
        <v>504</v>
      </c>
      <c r="C304" s="163" t="s">
        <v>62</v>
      </c>
      <c r="D304" s="197" t="s">
        <v>561</v>
      </c>
      <c r="E304" s="198" t="s">
        <v>6</v>
      </c>
      <c r="F304" s="171">
        <f>F305+F308+F311+F314</f>
        <v>7628080.2799999993</v>
      </c>
      <c r="G304" s="171">
        <f t="shared" ref="G304:I304" si="219">G305+G308+G311+G314</f>
        <v>13444387.359999999</v>
      </c>
      <c r="H304" s="171">
        <f t="shared" si="219"/>
        <v>8000375.0199999996</v>
      </c>
      <c r="I304" s="171">
        <f t="shared" si="219"/>
        <v>8000375.0199999996</v>
      </c>
      <c r="J304" s="216">
        <f t="shared" si="204"/>
        <v>0</v>
      </c>
      <c r="K304" s="216"/>
      <c r="L304" s="171">
        <f t="shared" ref="L304" si="220">L305+L308+L311+L314</f>
        <v>15800375.02</v>
      </c>
    </row>
    <row r="305" spans="1:12" ht="108" outlineLevel="1">
      <c r="A305" s="33" t="s">
        <v>573</v>
      </c>
      <c r="B305" s="163" t="s">
        <v>504</v>
      </c>
      <c r="C305" s="163" t="s">
        <v>62</v>
      </c>
      <c r="D305" s="163" t="s">
        <v>598</v>
      </c>
      <c r="E305" s="169" t="s">
        <v>6</v>
      </c>
      <c r="F305" s="171">
        <f>F306</f>
        <v>6501429.3700000001</v>
      </c>
      <c r="G305" s="167">
        <f t="shared" ref="G305:I306" si="221">G306</f>
        <v>13041055.74</v>
      </c>
      <c r="H305" s="167">
        <f t="shared" si="221"/>
        <v>6855579.5599999996</v>
      </c>
      <c r="I305" s="182">
        <f t="shared" si="221"/>
        <v>6855579.5599999996</v>
      </c>
      <c r="J305" s="216">
        <f t="shared" si="204"/>
        <v>0</v>
      </c>
      <c r="K305" s="216"/>
      <c r="L305" s="182">
        <f t="shared" ref="L305:L306" si="222">L306</f>
        <v>6855579.5599999996</v>
      </c>
    </row>
    <row r="306" spans="1:12" ht="21.15" customHeight="1" outlineLevel="1">
      <c r="A306" s="164" t="s">
        <v>15</v>
      </c>
      <c r="B306" s="163" t="s">
        <v>504</v>
      </c>
      <c r="C306" s="163" t="s">
        <v>62</v>
      </c>
      <c r="D306" s="163" t="s">
        <v>598</v>
      </c>
      <c r="E306" s="169" t="s">
        <v>16</v>
      </c>
      <c r="F306" s="171">
        <f>F307</f>
        <v>6501429.3700000001</v>
      </c>
      <c r="G306" s="167">
        <f t="shared" si="221"/>
        <v>13041055.74</v>
      </c>
      <c r="H306" s="167">
        <f t="shared" si="221"/>
        <v>6855579.5599999996</v>
      </c>
      <c r="I306" s="182">
        <f t="shared" si="221"/>
        <v>6855579.5599999996</v>
      </c>
      <c r="J306" s="216">
        <f t="shared" si="204"/>
        <v>0</v>
      </c>
      <c r="K306" s="216"/>
      <c r="L306" s="182">
        <f t="shared" si="222"/>
        <v>6855579.5599999996</v>
      </c>
    </row>
    <row r="307" spans="1:12" ht="54" outlineLevel="1">
      <c r="A307" s="164" t="s">
        <v>17</v>
      </c>
      <c r="B307" s="163" t="s">
        <v>504</v>
      </c>
      <c r="C307" s="163" t="s">
        <v>62</v>
      </c>
      <c r="D307" s="163" t="s">
        <v>598</v>
      </c>
      <c r="E307" s="169" t="s">
        <v>18</v>
      </c>
      <c r="F307" s="171">
        <v>6501429.3700000001</v>
      </c>
      <c r="G307" s="167">
        <v>13041055.74</v>
      </c>
      <c r="H307" s="167">
        <v>6855579.5599999996</v>
      </c>
      <c r="I307" s="182">
        <v>6855579.5599999996</v>
      </c>
      <c r="J307" s="216">
        <f t="shared" si="204"/>
        <v>0</v>
      </c>
      <c r="K307" s="216"/>
      <c r="L307" s="182">
        <v>6855579.5599999996</v>
      </c>
    </row>
    <row r="308" spans="1:12" ht="39.75" customHeight="1" outlineLevel="1">
      <c r="A308" s="33" t="s">
        <v>563</v>
      </c>
      <c r="B308" s="163" t="s">
        <v>504</v>
      </c>
      <c r="C308" s="163" t="s">
        <v>62</v>
      </c>
      <c r="D308" s="163" t="s">
        <v>562</v>
      </c>
      <c r="E308" s="169" t="s">
        <v>6</v>
      </c>
      <c r="F308" s="167">
        <f>F309</f>
        <v>201075.14</v>
      </c>
      <c r="G308" s="167">
        <f t="shared" si="217"/>
        <v>403331.62</v>
      </c>
      <c r="H308" s="167">
        <f t="shared" si="217"/>
        <v>403331.62</v>
      </c>
      <c r="I308" s="182">
        <f t="shared" si="217"/>
        <v>403331.62</v>
      </c>
      <c r="J308" s="216">
        <f t="shared" si="204"/>
        <v>0</v>
      </c>
      <c r="K308" s="216"/>
      <c r="L308" s="182">
        <f t="shared" si="218"/>
        <v>403331.62</v>
      </c>
    </row>
    <row r="309" spans="1:12" ht="21.75" customHeight="1" outlineLevel="1">
      <c r="A309" s="164" t="s">
        <v>15</v>
      </c>
      <c r="B309" s="163" t="s">
        <v>504</v>
      </c>
      <c r="C309" s="163" t="s">
        <v>62</v>
      </c>
      <c r="D309" s="163" t="s">
        <v>562</v>
      </c>
      <c r="E309" s="169" t="s">
        <v>16</v>
      </c>
      <c r="F309" s="167">
        <f>F310</f>
        <v>201075.14</v>
      </c>
      <c r="G309" s="167">
        <f t="shared" si="217"/>
        <v>403331.62</v>
      </c>
      <c r="H309" s="167">
        <f t="shared" si="217"/>
        <v>403331.62</v>
      </c>
      <c r="I309" s="182">
        <f t="shared" si="217"/>
        <v>403331.62</v>
      </c>
      <c r="J309" s="216">
        <f t="shared" si="204"/>
        <v>0</v>
      </c>
      <c r="K309" s="216"/>
      <c r="L309" s="182">
        <f t="shared" si="218"/>
        <v>403331.62</v>
      </c>
    </row>
    <row r="310" spans="1:12" ht="39.75" customHeight="1" outlineLevel="1">
      <c r="A310" s="164" t="s">
        <v>17</v>
      </c>
      <c r="B310" s="163" t="s">
        <v>504</v>
      </c>
      <c r="C310" s="163" t="s">
        <v>62</v>
      </c>
      <c r="D310" s="163" t="s">
        <v>562</v>
      </c>
      <c r="E310" s="169" t="s">
        <v>18</v>
      </c>
      <c r="F310" s="167">
        <v>201075.14</v>
      </c>
      <c r="G310" s="167">
        <v>403331.62</v>
      </c>
      <c r="H310" s="184">
        <v>403331.62</v>
      </c>
      <c r="I310" s="195">
        <v>403331.62</v>
      </c>
      <c r="J310" s="216">
        <f t="shared" si="204"/>
        <v>0</v>
      </c>
      <c r="K310" s="216"/>
      <c r="L310" s="195">
        <v>403331.62</v>
      </c>
    </row>
    <row r="311" spans="1:12" ht="39.75" customHeight="1" outlineLevel="1">
      <c r="A311" s="164" t="s">
        <v>691</v>
      </c>
      <c r="B311" s="163" t="s">
        <v>504</v>
      </c>
      <c r="C311" s="163" t="s">
        <v>62</v>
      </c>
      <c r="D311" s="163" t="s">
        <v>690</v>
      </c>
      <c r="E311" s="163" t="s">
        <v>6</v>
      </c>
      <c r="F311" s="167">
        <f>F312</f>
        <v>925575.77</v>
      </c>
      <c r="G311" s="167">
        <f>G312</f>
        <v>0</v>
      </c>
      <c r="H311" s="167">
        <f t="shared" ref="H311:I312" si="223">H312</f>
        <v>679463.84</v>
      </c>
      <c r="I311" s="182">
        <f t="shared" si="223"/>
        <v>679463.84</v>
      </c>
      <c r="J311" s="216">
        <f t="shared" si="204"/>
        <v>0</v>
      </c>
      <c r="K311" s="216"/>
      <c r="L311" s="182">
        <f t="shared" ref="L311:L312" si="224">L312</f>
        <v>8479463.8399999999</v>
      </c>
    </row>
    <row r="312" spans="1:12" ht="39.75" customHeight="1" outlineLevel="1">
      <c r="A312" s="164" t="s">
        <v>15</v>
      </c>
      <c r="B312" s="163" t="s">
        <v>504</v>
      </c>
      <c r="C312" s="163" t="s">
        <v>62</v>
      </c>
      <c r="D312" s="163" t="s">
        <v>690</v>
      </c>
      <c r="E312" s="163" t="s">
        <v>16</v>
      </c>
      <c r="F312" s="167">
        <f>F313</f>
        <v>925575.77</v>
      </c>
      <c r="G312" s="167">
        <f>G313</f>
        <v>0</v>
      </c>
      <c r="H312" s="167">
        <f t="shared" si="223"/>
        <v>679463.84</v>
      </c>
      <c r="I312" s="182">
        <f t="shared" si="223"/>
        <v>679463.84</v>
      </c>
      <c r="J312" s="216">
        <f t="shared" si="204"/>
        <v>0</v>
      </c>
      <c r="K312" s="216"/>
      <c r="L312" s="182">
        <f t="shared" si="224"/>
        <v>8479463.8399999999</v>
      </c>
    </row>
    <row r="313" spans="1:12" ht="39.75" customHeight="1" outlineLevel="1">
      <c r="A313" s="164" t="s">
        <v>17</v>
      </c>
      <c r="B313" s="163" t="s">
        <v>504</v>
      </c>
      <c r="C313" s="163" t="s">
        <v>62</v>
      </c>
      <c r="D313" s="163" t="s">
        <v>690</v>
      </c>
      <c r="E313" s="163" t="s">
        <v>18</v>
      </c>
      <c r="F313" s="167">
        <v>925575.77</v>
      </c>
      <c r="G313" s="167">
        <v>0</v>
      </c>
      <c r="H313" s="184">
        <v>679463.84</v>
      </c>
      <c r="I313" s="195">
        <f>679463.84</f>
        <v>679463.84</v>
      </c>
      <c r="J313" s="216">
        <f t="shared" si="204"/>
        <v>0</v>
      </c>
      <c r="K313" s="216">
        <v>7800000</v>
      </c>
      <c r="L313" s="195">
        <f>679463.84+7800000</f>
        <v>8479463.8399999999</v>
      </c>
    </row>
    <row r="314" spans="1:12" ht="58.65" customHeight="1" outlineLevel="1">
      <c r="A314" s="164" t="s">
        <v>693</v>
      </c>
      <c r="B314" s="163" t="s">
        <v>504</v>
      </c>
      <c r="C314" s="163" t="s">
        <v>62</v>
      </c>
      <c r="D314" s="163" t="s">
        <v>780</v>
      </c>
      <c r="E314" s="163" t="s">
        <v>6</v>
      </c>
      <c r="F314" s="167">
        <f>F315</f>
        <v>0</v>
      </c>
      <c r="G314" s="167">
        <f t="shared" ref="G314:I315" si="225">G315</f>
        <v>0</v>
      </c>
      <c r="H314" s="167">
        <f t="shared" si="225"/>
        <v>62000</v>
      </c>
      <c r="I314" s="167">
        <f t="shared" si="225"/>
        <v>62000</v>
      </c>
      <c r="J314" s="216">
        <f t="shared" si="204"/>
        <v>0</v>
      </c>
      <c r="K314" s="216"/>
      <c r="L314" s="167">
        <f t="shared" ref="L314:L315" si="226">L315</f>
        <v>62000</v>
      </c>
    </row>
    <row r="315" spans="1:12" ht="39.75" customHeight="1" outlineLevel="1">
      <c r="A315" s="164" t="s">
        <v>15</v>
      </c>
      <c r="B315" s="163" t="s">
        <v>504</v>
      </c>
      <c r="C315" s="163" t="s">
        <v>62</v>
      </c>
      <c r="D315" s="163" t="s">
        <v>780</v>
      </c>
      <c r="E315" s="163" t="s">
        <v>16</v>
      </c>
      <c r="F315" s="167">
        <f>F316</f>
        <v>0</v>
      </c>
      <c r="G315" s="167">
        <f t="shared" si="225"/>
        <v>0</v>
      </c>
      <c r="H315" s="167">
        <f t="shared" si="225"/>
        <v>62000</v>
      </c>
      <c r="I315" s="167">
        <f t="shared" si="225"/>
        <v>62000</v>
      </c>
      <c r="J315" s="216">
        <f t="shared" si="204"/>
        <v>0</v>
      </c>
      <c r="K315" s="216"/>
      <c r="L315" s="167">
        <f t="shared" si="226"/>
        <v>62000</v>
      </c>
    </row>
    <row r="316" spans="1:12" ht="39.75" customHeight="1" outlineLevel="1">
      <c r="A316" s="164" t="s">
        <v>17</v>
      </c>
      <c r="B316" s="163" t="s">
        <v>504</v>
      </c>
      <c r="C316" s="163" t="s">
        <v>62</v>
      </c>
      <c r="D316" s="163" t="s">
        <v>780</v>
      </c>
      <c r="E316" s="163" t="s">
        <v>18</v>
      </c>
      <c r="F316" s="167">
        <v>0</v>
      </c>
      <c r="G316" s="167">
        <v>0</v>
      </c>
      <c r="H316" s="184">
        <v>62000</v>
      </c>
      <c r="I316" s="195">
        <v>62000</v>
      </c>
      <c r="J316" s="216">
        <f t="shared" si="204"/>
        <v>0</v>
      </c>
      <c r="K316" s="216"/>
      <c r="L316" s="195">
        <v>62000</v>
      </c>
    </row>
    <row r="317" spans="1:12" ht="36" outlineLevel="7">
      <c r="A317" s="164" t="s">
        <v>292</v>
      </c>
      <c r="B317" s="163" t="s">
        <v>504</v>
      </c>
      <c r="C317" s="163" t="s">
        <v>293</v>
      </c>
      <c r="D317" s="163" t="s">
        <v>126</v>
      </c>
      <c r="E317" s="169" t="s">
        <v>6</v>
      </c>
      <c r="F317" s="184">
        <f>F318</f>
        <v>840344.84</v>
      </c>
      <c r="G317" s="184">
        <f t="shared" ref="G317:I318" si="227">G318</f>
        <v>990344.84</v>
      </c>
      <c r="H317" s="184">
        <f t="shared" si="227"/>
        <v>7460868.7599999998</v>
      </c>
      <c r="I317" s="184">
        <f t="shared" si="227"/>
        <v>7460868.7599999998</v>
      </c>
      <c r="J317" s="216">
        <f t="shared" si="204"/>
        <v>0</v>
      </c>
      <c r="K317" s="216"/>
      <c r="L317" s="184">
        <f t="shared" ref="L317:L318" si="228">L318</f>
        <v>7460868.7599999998</v>
      </c>
    </row>
    <row r="318" spans="1:12" ht="38.25" customHeight="1" outlineLevel="7">
      <c r="A318" s="196" t="s">
        <v>421</v>
      </c>
      <c r="B318" s="197" t="s">
        <v>504</v>
      </c>
      <c r="C318" s="197" t="s">
        <v>293</v>
      </c>
      <c r="D318" s="197" t="s">
        <v>134</v>
      </c>
      <c r="E318" s="198" t="s">
        <v>6</v>
      </c>
      <c r="F318" s="209">
        <f>F319</f>
        <v>840344.84</v>
      </c>
      <c r="G318" s="209">
        <f t="shared" si="227"/>
        <v>990344.84</v>
      </c>
      <c r="H318" s="209">
        <f t="shared" si="227"/>
        <v>7460868.7599999998</v>
      </c>
      <c r="I318" s="209">
        <f t="shared" si="227"/>
        <v>7460868.7599999998</v>
      </c>
      <c r="J318" s="216">
        <f t="shared" si="204"/>
        <v>0</v>
      </c>
      <c r="K318" s="216"/>
      <c r="L318" s="209">
        <f t="shared" si="228"/>
        <v>7460868.7599999998</v>
      </c>
    </row>
    <row r="319" spans="1:12" ht="54" outlineLevel="7">
      <c r="A319" s="164" t="s">
        <v>356</v>
      </c>
      <c r="B319" s="163" t="s">
        <v>504</v>
      </c>
      <c r="C319" s="163" t="s">
        <v>293</v>
      </c>
      <c r="D319" s="163" t="s">
        <v>350</v>
      </c>
      <c r="E319" s="169" t="s">
        <v>6</v>
      </c>
      <c r="F319" s="184">
        <f>F320+F323</f>
        <v>840344.84</v>
      </c>
      <c r="G319" s="184">
        <f t="shared" ref="G319:I319" si="229">G320+G323</f>
        <v>990344.84</v>
      </c>
      <c r="H319" s="184">
        <f t="shared" si="229"/>
        <v>7460868.7599999998</v>
      </c>
      <c r="I319" s="184">
        <f t="shared" si="229"/>
        <v>7460868.7599999998</v>
      </c>
      <c r="J319" s="216">
        <f t="shared" si="204"/>
        <v>0</v>
      </c>
      <c r="K319" s="216"/>
      <c r="L319" s="184">
        <f t="shared" ref="L319" si="230">L320+L323</f>
        <v>7460868.7599999998</v>
      </c>
    </row>
    <row r="320" spans="1:12" ht="54" outlineLevel="7">
      <c r="A320" s="187" t="s">
        <v>569</v>
      </c>
      <c r="B320" s="163" t="s">
        <v>504</v>
      </c>
      <c r="C320" s="163" t="s">
        <v>293</v>
      </c>
      <c r="D320" s="163" t="s">
        <v>599</v>
      </c>
      <c r="E320" s="163" t="s">
        <v>6</v>
      </c>
      <c r="F320" s="184">
        <f>F321</f>
        <v>690344.84</v>
      </c>
      <c r="G320" s="184">
        <f t="shared" ref="G320:I321" si="231">G321</f>
        <v>690344.84</v>
      </c>
      <c r="H320" s="184">
        <f t="shared" si="231"/>
        <v>7160868.7599999998</v>
      </c>
      <c r="I320" s="184">
        <f t="shared" si="231"/>
        <v>7160868.7599999998</v>
      </c>
      <c r="J320" s="216">
        <f t="shared" si="204"/>
        <v>0</v>
      </c>
      <c r="K320" s="216"/>
      <c r="L320" s="184">
        <f t="shared" ref="L320:L321" si="232">L321</f>
        <v>7160868.7599999998</v>
      </c>
    </row>
    <row r="321" spans="1:12" outlineLevel="7">
      <c r="A321" s="164" t="s">
        <v>19</v>
      </c>
      <c r="B321" s="163" t="s">
        <v>504</v>
      </c>
      <c r="C321" s="163" t="s">
        <v>293</v>
      </c>
      <c r="D321" s="163" t="s">
        <v>599</v>
      </c>
      <c r="E321" s="163" t="s">
        <v>20</v>
      </c>
      <c r="F321" s="184">
        <f>F322</f>
        <v>690344.84</v>
      </c>
      <c r="G321" s="184">
        <f t="shared" si="231"/>
        <v>690344.84</v>
      </c>
      <c r="H321" s="184">
        <f t="shared" si="231"/>
        <v>7160868.7599999998</v>
      </c>
      <c r="I321" s="184">
        <f t="shared" si="231"/>
        <v>7160868.7599999998</v>
      </c>
      <c r="J321" s="216">
        <f t="shared" si="204"/>
        <v>0</v>
      </c>
      <c r="K321" s="216"/>
      <c r="L321" s="184">
        <f t="shared" si="232"/>
        <v>7160868.7599999998</v>
      </c>
    </row>
    <row r="322" spans="1:12" ht="72" outlineLevel="7">
      <c r="A322" s="164" t="s">
        <v>47</v>
      </c>
      <c r="B322" s="163" t="s">
        <v>504</v>
      </c>
      <c r="C322" s="163" t="s">
        <v>293</v>
      </c>
      <c r="D322" s="163" t="s">
        <v>599</v>
      </c>
      <c r="E322" s="163" t="s">
        <v>48</v>
      </c>
      <c r="F322" s="184">
        <v>690344.84</v>
      </c>
      <c r="G322" s="184">
        <v>690344.84</v>
      </c>
      <c r="H322" s="184">
        <v>7160868.7599999998</v>
      </c>
      <c r="I322" s="184">
        <v>7160868.7599999998</v>
      </c>
      <c r="J322" s="216">
        <f t="shared" si="204"/>
        <v>0</v>
      </c>
      <c r="K322" s="216"/>
      <c r="L322" s="184">
        <v>7160868.7599999998</v>
      </c>
    </row>
    <row r="323" spans="1:12" ht="72" outlineLevel="7">
      <c r="A323" s="164" t="s">
        <v>306</v>
      </c>
      <c r="B323" s="163" t="s">
        <v>504</v>
      </c>
      <c r="C323" s="163" t="s">
        <v>293</v>
      </c>
      <c r="D323" s="163" t="s">
        <v>357</v>
      </c>
      <c r="E323" s="169" t="s">
        <v>6</v>
      </c>
      <c r="F323" s="184">
        <f>F324</f>
        <v>150000</v>
      </c>
      <c r="G323" s="184">
        <f t="shared" ref="G323:I324" si="233">G324</f>
        <v>300000</v>
      </c>
      <c r="H323" s="184">
        <f t="shared" si="233"/>
        <v>300000</v>
      </c>
      <c r="I323" s="195">
        <f t="shared" si="233"/>
        <v>300000</v>
      </c>
      <c r="J323" s="216">
        <f t="shared" si="204"/>
        <v>0</v>
      </c>
      <c r="K323" s="216"/>
      <c r="L323" s="195">
        <f t="shared" ref="L323:L324" si="234">L324</f>
        <v>300000</v>
      </c>
    </row>
    <row r="324" spans="1:12" outlineLevel="7">
      <c r="A324" s="164" t="s">
        <v>19</v>
      </c>
      <c r="B324" s="163" t="s">
        <v>504</v>
      </c>
      <c r="C324" s="163" t="s">
        <v>293</v>
      </c>
      <c r="D324" s="163" t="s">
        <v>357</v>
      </c>
      <c r="E324" s="169" t="s">
        <v>20</v>
      </c>
      <c r="F324" s="184">
        <f>F325</f>
        <v>150000</v>
      </c>
      <c r="G324" s="184">
        <f t="shared" si="233"/>
        <v>300000</v>
      </c>
      <c r="H324" s="184">
        <f t="shared" si="233"/>
        <v>300000</v>
      </c>
      <c r="I324" s="195">
        <f t="shared" si="233"/>
        <v>300000</v>
      </c>
      <c r="J324" s="216">
        <f t="shared" si="204"/>
        <v>0</v>
      </c>
      <c r="K324" s="216"/>
      <c r="L324" s="195">
        <f t="shared" si="234"/>
        <v>300000</v>
      </c>
    </row>
    <row r="325" spans="1:12" ht="72" outlineLevel="7">
      <c r="A325" s="164" t="s">
        <v>47</v>
      </c>
      <c r="B325" s="163" t="s">
        <v>504</v>
      </c>
      <c r="C325" s="163" t="s">
        <v>293</v>
      </c>
      <c r="D325" s="163" t="s">
        <v>357</v>
      </c>
      <c r="E325" s="169" t="s">
        <v>48</v>
      </c>
      <c r="F325" s="167">
        <v>150000</v>
      </c>
      <c r="G325" s="167">
        <v>300000</v>
      </c>
      <c r="H325" s="218">
        <v>300000</v>
      </c>
      <c r="I325" s="204">
        <v>300000</v>
      </c>
      <c r="J325" s="216">
        <f t="shared" si="204"/>
        <v>0</v>
      </c>
      <c r="K325" s="216"/>
      <c r="L325" s="204">
        <v>300000</v>
      </c>
    </row>
    <row r="326" spans="1:12" outlineLevel="3">
      <c r="A326" s="196" t="s">
        <v>64</v>
      </c>
      <c r="B326" s="163" t="s">
        <v>504</v>
      </c>
      <c r="C326" s="197" t="s">
        <v>65</v>
      </c>
      <c r="D326" s="197" t="s">
        <v>126</v>
      </c>
      <c r="E326" s="198" t="s">
        <v>6</v>
      </c>
      <c r="F326" s="171">
        <f>F327</f>
        <v>515000</v>
      </c>
      <c r="G326" s="171">
        <f t="shared" ref="G326:I326" si="235">G327</f>
        <v>515000</v>
      </c>
      <c r="H326" s="171">
        <f t="shared" si="235"/>
        <v>515000</v>
      </c>
      <c r="I326" s="199">
        <f t="shared" si="235"/>
        <v>515000</v>
      </c>
      <c r="J326" s="216">
        <f t="shared" si="204"/>
        <v>0</v>
      </c>
      <c r="K326" s="216"/>
      <c r="L326" s="199">
        <f t="shared" ref="L326" si="236">L327</f>
        <v>515000</v>
      </c>
    </row>
    <row r="327" spans="1:12" ht="36" outlineLevel="4">
      <c r="A327" s="164" t="s">
        <v>66</v>
      </c>
      <c r="B327" s="163" t="s">
        <v>504</v>
      </c>
      <c r="C327" s="163" t="s">
        <v>67</v>
      </c>
      <c r="D327" s="163" t="s">
        <v>126</v>
      </c>
      <c r="E327" s="169" t="s">
        <v>6</v>
      </c>
      <c r="F327" s="167">
        <f>F328+F337</f>
        <v>515000</v>
      </c>
      <c r="G327" s="167">
        <f>G328+G337</f>
        <v>515000</v>
      </c>
      <c r="H327" s="167">
        <f>H328+H337</f>
        <v>515000</v>
      </c>
      <c r="I327" s="182">
        <f>I328+I337</f>
        <v>515000</v>
      </c>
      <c r="J327" s="216">
        <f t="shared" si="204"/>
        <v>0</v>
      </c>
      <c r="K327" s="216"/>
      <c r="L327" s="182">
        <f>L328+L337</f>
        <v>515000</v>
      </c>
    </row>
    <row r="328" spans="1:12" ht="72" outlineLevel="5">
      <c r="A328" s="196" t="s">
        <v>358</v>
      </c>
      <c r="B328" s="197" t="s">
        <v>504</v>
      </c>
      <c r="C328" s="197" t="s">
        <v>67</v>
      </c>
      <c r="D328" s="197" t="s">
        <v>135</v>
      </c>
      <c r="E328" s="198" t="s">
        <v>6</v>
      </c>
      <c r="F328" s="171">
        <f>F329+F333</f>
        <v>470000</v>
      </c>
      <c r="G328" s="171">
        <f>G329+G333</f>
        <v>470000</v>
      </c>
      <c r="H328" s="171">
        <f>H329+H333</f>
        <v>470000</v>
      </c>
      <c r="I328" s="199">
        <f>I329+I333</f>
        <v>470000</v>
      </c>
      <c r="J328" s="216">
        <f t="shared" si="204"/>
        <v>0</v>
      </c>
      <c r="K328" s="216"/>
      <c r="L328" s="199">
        <f>L329+L333</f>
        <v>470000</v>
      </c>
    </row>
    <row r="329" spans="1:12" ht="39.75" customHeight="1" outlineLevel="6">
      <c r="A329" s="164" t="s">
        <v>359</v>
      </c>
      <c r="B329" s="163" t="s">
        <v>504</v>
      </c>
      <c r="C329" s="163" t="s">
        <v>67</v>
      </c>
      <c r="D329" s="163" t="s">
        <v>392</v>
      </c>
      <c r="E329" s="169" t="s">
        <v>6</v>
      </c>
      <c r="F329" s="167">
        <f>F330</f>
        <v>440000</v>
      </c>
      <c r="G329" s="167">
        <f>G330</f>
        <v>440000</v>
      </c>
      <c r="H329" s="167">
        <f>H330</f>
        <v>440000</v>
      </c>
      <c r="I329" s="182">
        <f>I330</f>
        <v>440000</v>
      </c>
      <c r="J329" s="216">
        <f t="shared" si="204"/>
        <v>0</v>
      </c>
      <c r="K329" s="216"/>
      <c r="L329" s="182">
        <f>L330</f>
        <v>440000</v>
      </c>
    </row>
    <row r="330" spans="1:12" ht="36" outlineLevel="2">
      <c r="A330" s="164" t="s">
        <v>244</v>
      </c>
      <c r="B330" s="163" t="s">
        <v>504</v>
      </c>
      <c r="C330" s="163" t="s">
        <v>67</v>
      </c>
      <c r="D330" s="163" t="s">
        <v>361</v>
      </c>
      <c r="E330" s="169" t="s">
        <v>6</v>
      </c>
      <c r="F330" s="167">
        <f>F331</f>
        <v>440000</v>
      </c>
      <c r="G330" s="167">
        <f t="shared" ref="G330:I331" si="237">G331</f>
        <v>440000</v>
      </c>
      <c r="H330" s="167">
        <f t="shared" si="237"/>
        <v>440000</v>
      </c>
      <c r="I330" s="182">
        <f t="shared" si="237"/>
        <v>440000</v>
      </c>
      <c r="J330" s="216">
        <f t="shared" si="204"/>
        <v>0</v>
      </c>
      <c r="K330" s="216"/>
      <c r="L330" s="182">
        <f t="shared" ref="L330:L331" si="238">L331</f>
        <v>440000</v>
      </c>
    </row>
    <row r="331" spans="1:12" ht="21.15" customHeight="1" outlineLevel="4">
      <c r="A331" s="164" t="s">
        <v>15</v>
      </c>
      <c r="B331" s="163" t="s">
        <v>504</v>
      </c>
      <c r="C331" s="163" t="s">
        <v>67</v>
      </c>
      <c r="D331" s="163" t="s">
        <v>361</v>
      </c>
      <c r="E331" s="169" t="s">
        <v>16</v>
      </c>
      <c r="F331" s="167">
        <f>F332</f>
        <v>440000</v>
      </c>
      <c r="G331" s="167">
        <f t="shared" si="237"/>
        <v>440000</v>
      </c>
      <c r="H331" s="167">
        <f t="shared" si="237"/>
        <v>440000</v>
      </c>
      <c r="I331" s="182">
        <f t="shared" si="237"/>
        <v>440000</v>
      </c>
      <c r="J331" s="216">
        <f t="shared" si="204"/>
        <v>0</v>
      </c>
      <c r="K331" s="216"/>
      <c r="L331" s="182">
        <f t="shared" si="238"/>
        <v>440000</v>
      </c>
    </row>
    <row r="332" spans="1:12" ht="54" outlineLevel="5">
      <c r="A332" s="164" t="s">
        <v>17</v>
      </c>
      <c r="B332" s="163" t="s">
        <v>504</v>
      </c>
      <c r="C332" s="163" t="s">
        <v>67</v>
      </c>
      <c r="D332" s="163" t="s">
        <v>361</v>
      </c>
      <c r="E332" s="169" t="s">
        <v>18</v>
      </c>
      <c r="F332" s="167">
        <v>440000</v>
      </c>
      <c r="G332" s="167">
        <v>440000</v>
      </c>
      <c r="H332" s="167">
        <v>440000</v>
      </c>
      <c r="I332" s="182">
        <v>440000</v>
      </c>
      <c r="J332" s="216">
        <f t="shared" si="204"/>
        <v>0</v>
      </c>
      <c r="K332" s="216"/>
      <c r="L332" s="182">
        <v>440000</v>
      </c>
    </row>
    <row r="333" spans="1:12" ht="36" outlineLevel="6">
      <c r="A333" s="164" t="s">
        <v>362</v>
      </c>
      <c r="B333" s="163" t="s">
        <v>504</v>
      </c>
      <c r="C333" s="163" t="s">
        <v>67</v>
      </c>
      <c r="D333" s="163" t="s">
        <v>246</v>
      </c>
      <c r="E333" s="169" t="s">
        <v>6</v>
      </c>
      <c r="F333" s="184">
        <f>F334</f>
        <v>30000</v>
      </c>
      <c r="G333" s="184">
        <f>G334</f>
        <v>30000</v>
      </c>
      <c r="H333" s="184">
        <f>H334</f>
        <v>30000</v>
      </c>
      <c r="I333" s="195">
        <f>I334</f>
        <v>30000</v>
      </c>
      <c r="J333" s="216">
        <f t="shared" si="204"/>
        <v>0</v>
      </c>
      <c r="K333" s="216"/>
      <c r="L333" s="195">
        <f>L334</f>
        <v>30000</v>
      </c>
    </row>
    <row r="334" spans="1:12" ht="36" outlineLevel="7">
      <c r="A334" s="164" t="s">
        <v>68</v>
      </c>
      <c r="B334" s="163" t="s">
        <v>504</v>
      </c>
      <c r="C334" s="163" t="s">
        <v>67</v>
      </c>
      <c r="D334" s="163" t="s">
        <v>245</v>
      </c>
      <c r="E334" s="169" t="s">
        <v>6</v>
      </c>
      <c r="F334" s="167">
        <f>F335</f>
        <v>30000</v>
      </c>
      <c r="G334" s="167">
        <f t="shared" ref="G334:I335" si="239">G335</f>
        <v>30000</v>
      </c>
      <c r="H334" s="167">
        <f t="shared" si="239"/>
        <v>30000</v>
      </c>
      <c r="I334" s="182">
        <f t="shared" si="239"/>
        <v>30000</v>
      </c>
      <c r="J334" s="216">
        <f t="shared" si="204"/>
        <v>0</v>
      </c>
      <c r="K334" s="216"/>
      <c r="L334" s="182">
        <f t="shared" ref="L334:L335" si="240">L335</f>
        <v>30000</v>
      </c>
    </row>
    <row r="335" spans="1:12" ht="19.5" customHeight="1" outlineLevel="5">
      <c r="A335" s="164" t="s">
        <v>15</v>
      </c>
      <c r="B335" s="163" t="s">
        <v>504</v>
      </c>
      <c r="C335" s="163" t="s">
        <v>67</v>
      </c>
      <c r="D335" s="163" t="s">
        <v>245</v>
      </c>
      <c r="E335" s="169" t="s">
        <v>16</v>
      </c>
      <c r="F335" s="167">
        <f>F336</f>
        <v>30000</v>
      </c>
      <c r="G335" s="167">
        <f t="shared" si="239"/>
        <v>30000</v>
      </c>
      <c r="H335" s="167">
        <f t="shared" si="239"/>
        <v>30000</v>
      </c>
      <c r="I335" s="182">
        <f t="shared" si="239"/>
        <v>30000</v>
      </c>
      <c r="J335" s="216">
        <f t="shared" si="204"/>
        <v>0</v>
      </c>
      <c r="K335" s="216"/>
      <c r="L335" s="182">
        <f t="shared" si="240"/>
        <v>30000</v>
      </c>
    </row>
    <row r="336" spans="1:12" ht="54" outlineLevel="6">
      <c r="A336" s="164" t="s">
        <v>17</v>
      </c>
      <c r="B336" s="163" t="s">
        <v>504</v>
      </c>
      <c r="C336" s="163" t="s">
        <v>67</v>
      </c>
      <c r="D336" s="163" t="s">
        <v>245</v>
      </c>
      <c r="E336" s="169" t="s">
        <v>18</v>
      </c>
      <c r="F336" s="167">
        <v>30000</v>
      </c>
      <c r="G336" s="167">
        <v>30000</v>
      </c>
      <c r="H336" s="167">
        <v>30000</v>
      </c>
      <c r="I336" s="182">
        <v>30000</v>
      </c>
      <c r="J336" s="216">
        <f t="shared" si="204"/>
        <v>0</v>
      </c>
      <c r="K336" s="216"/>
      <c r="L336" s="182">
        <v>30000</v>
      </c>
    </row>
    <row r="337" spans="1:12" ht="126" outlineLevel="7">
      <c r="A337" s="196" t="s">
        <v>428</v>
      </c>
      <c r="B337" s="197" t="s">
        <v>504</v>
      </c>
      <c r="C337" s="197" t="s">
        <v>67</v>
      </c>
      <c r="D337" s="197" t="s">
        <v>363</v>
      </c>
      <c r="E337" s="198" t="s">
        <v>6</v>
      </c>
      <c r="F337" s="171">
        <f>F338</f>
        <v>45000</v>
      </c>
      <c r="G337" s="171">
        <f>G338</f>
        <v>45000</v>
      </c>
      <c r="H337" s="171">
        <f>H338</f>
        <v>45000</v>
      </c>
      <c r="I337" s="199">
        <f>I338</f>
        <v>45000</v>
      </c>
      <c r="J337" s="216">
        <f t="shared" si="204"/>
        <v>0</v>
      </c>
      <c r="K337" s="216"/>
      <c r="L337" s="199">
        <f>L338</f>
        <v>45000</v>
      </c>
    </row>
    <row r="338" spans="1:12" ht="36" outlineLevel="6">
      <c r="A338" s="164" t="s">
        <v>364</v>
      </c>
      <c r="B338" s="163" t="s">
        <v>504</v>
      </c>
      <c r="C338" s="163" t="s">
        <v>67</v>
      </c>
      <c r="D338" s="163" t="s">
        <v>365</v>
      </c>
      <c r="E338" s="169" t="s">
        <v>6</v>
      </c>
      <c r="F338" s="167">
        <f>F340</f>
        <v>45000</v>
      </c>
      <c r="G338" s="167">
        <f>G340</f>
        <v>45000</v>
      </c>
      <c r="H338" s="167">
        <f>H340</f>
        <v>45000</v>
      </c>
      <c r="I338" s="182">
        <f>I340</f>
        <v>45000</v>
      </c>
      <c r="J338" s="216">
        <f t="shared" si="204"/>
        <v>0</v>
      </c>
      <c r="K338" s="216"/>
      <c r="L338" s="182">
        <f>L340</f>
        <v>45000</v>
      </c>
    </row>
    <row r="339" spans="1:12" ht="36" outlineLevel="7">
      <c r="A339" s="164" t="s">
        <v>366</v>
      </c>
      <c r="B339" s="163" t="s">
        <v>504</v>
      </c>
      <c r="C339" s="163" t="s">
        <v>67</v>
      </c>
      <c r="D339" s="163" t="s">
        <v>367</v>
      </c>
      <c r="E339" s="169" t="s">
        <v>6</v>
      </c>
      <c r="F339" s="167">
        <f>F340</f>
        <v>45000</v>
      </c>
      <c r="G339" s="167">
        <f>G340</f>
        <v>45000</v>
      </c>
      <c r="H339" s="167">
        <f>H340</f>
        <v>45000</v>
      </c>
      <c r="I339" s="182">
        <f>I340</f>
        <v>45000</v>
      </c>
      <c r="J339" s="216">
        <f t="shared" si="204"/>
        <v>0</v>
      </c>
      <c r="K339" s="216"/>
      <c r="L339" s="182">
        <f>L340</f>
        <v>45000</v>
      </c>
    </row>
    <row r="340" spans="1:12" ht="18.75" customHeight="1" outlineLevel="6">
      <c r="A340" s="164" t="s">
        <v>15</v>
      </c>
      <c r="B340" s="163" t="s">
        <v>504</v>
      </c>
      <c r="C340" s="163" t="s">
        <v>67</v>
      </c>
      <c r="D340" s="163" t="s">
        <v>367</v>
      </c>
      <c r="E340" s="169" t="s">
        <v>16</v>
      </c>
      <c r="F340" s="167">
        <f>F341</f>
        <v>45000</v>
      </c>
      <c r="G340" s="167">
        <f t="shared" ref="G340:I340" si="241">G341</f>
        <v>45000</v>
      </c>
      <c r="H340" s="167">
        <f t="shared" si="241"/>
        <v>45000</v>
      </c>
      <c r="I340" s="182">
        <f t="shared" si="241"/>
        <v>45000</v>
      </c>
      <c r="J340" s="216">
        <f t="shared" si="204"/>
        <v>0</v>
      </c>
      <c r="K340" s="216"/>
      <c r="L340" s="182">
        <f t="shared" ref="L340" si="242">L341</f>
        <v>45000</v>
      </c>
    </row>
    <row r="341" spans="1:12" ht="54" outlineLevel="7">
      <c r="A341" s="164" t="s">
        <v>17</v>
      </c>
      <c r="B341" s="163" t="s">
        <v>504</v>
      </c>
      <c r="C341" s="163" t="s">
        <v>67</v>
      </c>
      <c r="D341" s="163" t="s">
        <v>367</v>
      </c>
      <c r="E341" s="169" t="s">
        <v>18</v>
      </c>
      <c r="F341" s="167">
        <v>45000</v>
      </c>
      <c r="G341" s="167">
        <v>45000</v>
      </c>
      <c r="H341" s="184">
        <v>45000</v>
      </c>
      <c r="I341" s="195">
        <v>45000</v>
      </c>
      <c r="J341" s="216">
        <f t="shared" si="204"/>
        <v>0</v>
      </c>
      <c r="K341" s="216"/>
      <c r="L341" s="195">
        <v>45000</v>
      </c>
    </row>
    <row r="342" spans="1:12" outlineLevel="5">
      <c r="A342" s="196" t="s">
        <v>69</v>
      </c>
      <c r="B342" s="197" t="s">
        <v>504</v>
      </c>
      <c r="C342" s="197" t="s">
        <v>70</v>
      </c>
      <c r="D342" s="197" t="s">
        <v>126</v>
      </c>
      <c r="E342" s="198" t="s">
        <v>6</v>
      </c>
      <c r="F342" s="171">
        <f>F343</f>
        <v>16105024.539999999</v>
      </c>
      <c r="G342" s="171">
        <f t="shared" ref="G342:I347" si="243">G343</f>
        <v>12942789.18</v>
      </c>
      <c r="H342" s="171">
        <f t="shared" si="243"/>
        <v>18741462.579999998</v>
      </c>
      <c r="I342" s="199">
        <f t="shared" si="243"/>
        <v>18291462.579999998</v>
      </c>
      <c r="J342" s="216">
        <f t="shared" si="204"/>
        <v>-450000</v>
      </c>
      <c r="K342" s="216"/>
      <c r="L342" s="199">
        <f t="shared" ref="L342:L347" si="244">L343</f>
        <v>18291462.579999998</v>
      </c>
    </row>
    <row r="343" spans="1:12" outlineLevel="6">
      <c r="A343" s="164" t="s">
        <v>257</v>
      </c>
      <c r="B343" s="163" t="s">
        <v>504</v>
      </c>
      <c r="C343" s="163" t="s">
        <v>256</v>
      </c>
      <c r="D343" s="163" t="s">
        <v>126</v>
      </c>
      <c r="E343" s="169" t="s">
        <v>6</v>
      </c>
      <c r="F343" s="167">
        <f>F344</f>
        <v>16105024.539999999</v>
      </c>
      <c r="G343" s="167">
        <f t="shared" si="243"/>
        <v>12942789.18</v>
      </c>
      <c r="H343" s="167">
        <f t="shared" si="243"/>
        <v>18741462.579999998</v>
      </c>
      <c r="I343" s="182">
        <f t="shared" si="243"/>
        <v>18291462.579999998</v>
      </c>
      <c r="J343" s="216">
        <f t="shared" si="204"/>
        <v>-450000</v>
      </c>
      <c r="K343" s="216"/>
      <c r="L343" s="182">
        <f t="shared" si="244"/>
        <v>18291462.579999998</v>
      </c>
    </row>
    <row r="344" spans="1:12" ht="72" outlineLevel="7">
      <c r="A344" s="196" t="s">
        <v>369</v>
      </c>
      <c r="B344" s="197" t="s">
        <v>504</v>
      </c>
      <c r="C344" s="197" t="s">
        <v>256</v>
      </c>
      <c r="D344" s="197" t="s">
        <v>136</v>
      </c>
      <c r="E344" s="198" t="s">
        <v>6</v>
      </c>
      <c r="F344" s="171">
        <f>F345+F349+F353</f>
        <v>16105024.539999999</v>
      </c>
      <c r="G344" s="171">
        <f>G345+G352</f>
        <v>12942789.18</v>
      </c>
      <c r="H344" s="171">
        <f>H345+H352</f>
        <v>18741462.579999998</v>
      </c>
      <c r="I344" s="199">
        <f>I345+I352</f>
        <v>18291462.579999998</v>
      </c>
      <c r="J344" s="216">
        <f t="shared" si="204"/>
        <v>-450000</v>
      </c>
      <c r="K344" s="216"/>
      <c r="L344" s="199">
        <f>L345+L352</f>
        <v>18291462.579999998</v>
      </c>
    </row>
    <row r="345" spans="1:12" ht="54" outlineLevel="2">
      <c r="A345" s="210" t="s">
        <v>368</v>
      </c>
      <c r="B345" s="163" t="s">
        <v>504</v>
      </c>
      <c r="C345" s="163" t="s">
        <v>256</v>
      </c>
      <c r="D345" s="163" t="s">
        <v>228</v>
      </c>
      <c r="E345" s="169" t="s">
        <v>6</v>
      </c>
      <c r="F345" s="167">
        <f>F346</f>
        <v>16000000</v>
      </c>
      <c r="G345" s="167">
        <f>G346+G349</f>
        <v>12942789.18</v>
      </c>
      <c r="H345" s="167">
        <f>H346+H349</f>
        <v>18741462.579999998</v>
      </c>
      <c r="I345" s="182">
        <f>I346+I349</f>
        <v>18291462.579999998</v>
      </c>
      <c r="J345" s="216">
        <f t="shared" si="204"/>
        <v>-450000</v>
      </c>
      <c r="K345" s="216"/>
      <c r="L345" s="182">
        <f>L346+L349</f>
        <v>18291462.579999998</v>
      </c>
    </row>
    <row r="346" spans="1:12" ht="72" outlineLevel="4">
      <c r="A346" s="164" t="s">
        <v>73</v>
      </c>
      <c r="B346" s="163" t="s">
        <v>504</v>
      </c>
      <c r="C346" s="163" t="s">
        <v>256</v>
      </c>
      <c r="D346" s="163" t="s">
        <v>137</v>
      </c>
      <c r="E346" s="169" t="s">
        <v>6</v>
      </c>
      <c r="F346" s="167">
        <f>F347</f>
        <v>16000000</v>
      </c>
      <c r="G346" s="167">
        <f t="shared" si="243"/>
        <v>12844429.18</v>
      </c>
      <c r="H346" s="167">
        <f t="shared" si="243"/>
        <v>18643102.579999998</v>
      </c>
      <c r="I346" s="182">
        <f t="shared" si="243"/>
        <v>18193102.579999998</v>
      </c>
      <c r="J346" s="216">
        <f t="shared" si="204"/>
        <v>-450000</v>
      </c>
      <c r="K346" s="216"/>
      <c r="L346" s="182">
        <f t="shared" si="244"/>
        <v>18193102.579999998</v>
      </c>
    </row>
    <row r="347" spans="1:12" ht="54" outlineLevel="5">
      <c r="A347" s="164" t="s">
        <v>37</v>
      </c>
      <c r="B347" s="163" t="s">
        <v>504</v>
      </c>
      <c r="C347" s="163" t="s">
        <v>256</v>
      </c>
      <c r="D347" s="163" t="s">
        <v>137</v>
      </c>
      <c r="E347" s="169" t="s">
        <v>38</v>
      </c>
      <c r="F347" s="167">
        <f>F348</f>
        <v>16000000</v>
      </c>
      <c r="G347" s="167">
        <f t="shared" si="243"/>
        <v>12844429.18</v>
      </c>
      <c r="H347" s="167">
        <f t="shared" si="243"/>
        <v>18643102.579999998</v>
      </c>
      <c r="I347" s="182">
        <f t="shared" si="243"/>
        <v>18193102.579999998</v>
      </c>
      <c r="J347" s="216">
        <f t="shared" si="204"/>
        <v>-450000</v>
      </c>
      <c r="K347" s="216"/>
      <c r="L347" s="182">
        <f t="shared" si="244"/>
        <v>18193102.579999998</v>
      </c>
    </row>
    <row r="348" spans="1:12" outlineLevel="6">
      <c r="A348" s="210" t="s">
        <v>74</v>
      </c>
      <c r="B348" s="163" t="s">
        <v>504</v>
      </c>
      <c r="C348" s="163" t="s">
        <v>256</v>
      </c>
      <c r="D348" s="163" t="s">
        <v>137</v>
      </c>
      <c r="E348" s="169" t="s">
        <v>75</v>
      </c>
      <c r="F348" s="167">
        <v>16000000</v>
      </c>
      <c r="G348" s="167">
        <v>12844429.18</v>
      </c>
      <c r="H348" s="167">
        <v>18643102.579999998</v>
      </c>
      <c r="I348" s="182">
        <f>18643102.58-450000</f>
        <v>18193102.579999998</v>
      </c>
      <c r="J348" s="216">
        <f t="shared" si="204"/>
        <v>-450000</v>
      </c>
      <c r="K348" s="216"/>
      <c r="L348" s="182">
        <f>18643102.58-450000</f>
        <v>18193102.579999998</v>
      </c>
    </row>
    <row r="349" spans="1:12" ht="81.75" customHeight="1" outlineLevel="6">
      <c r="A349" s="210" t="s">
        <v>724</v>
      </c>
      <c r="B349" s="163" t="s">
        <v>504</v>
      </c>
      <c r="C349" s="163" t="s">
        <v>256</v>
      </c>
      <c r="D349" s="163" t="s">
        <v>725</v>
      </c>
      <c r="E349" s="169" t="s">
        <v>6</v>
      </c>
      <c r="F349" s="169"/>
      <c r="G349" s="167">
        <f t="shared" ref="G349:I350" si="245">G350</f>
        <v>98360</v>
      </c>
      <c r="H349" s="167">
        <f t="shared" si="245"/>
        <v>98360</v>
      </c>
      <c r="I349" s="182">
        <f>I350</f>
        <v>98360</v>
      </c>
      <c r="J349" s="216">
        <f t="shared" si="204"/>
        <v>0</v>
      </c>
      <c r="K349" s="216"/>
      <c r="L349" s="182">
        <f>L350</f>
        <v>98360</v>
      </c>
    </row>
    <row r="350" spans="1:12" ht="54" outlineLevel="6">
      <c r="A350" s="164" t="s">
        <v>37</v>
      </c>
      <c r="B350" s="163" t="s">
        <v>504</v>
      </c>
      <c r="C350" s="163" t="s">
        <v>256</v>
      </c>
      <c r="D350" s="163" t="s">
        <v>725</v>
      </c>
      <c r="E350" s="169" t="s">
        <v>38</v>
      </c>
      <c r="F350" s="169"/>
      <c r="G350" s="167">
        <f t="shared" si="245"/>
        <v>98360</v>
      </c>
      <c r="H350" s="167">
        <f t="shared" si="245"/>
        <v>98360</v>
      </c>
      <c r="I350" s="182">
        <f t="shared" si="245"/>
        <v>98360</v>
      </c>
      <c r="J350" s="216">
        <f t="shared" si="204"/>
        <v>0</v>
      </c>
      <c r="K350" s="216"/>
      <c r="L350" s="182">
        <f t="shared" ref="L350" si="246">L351</f>
        <v>98360</v>
      </c>
    </row>
    <row r="351" spans="1:12" outlineLevel="6">
      <c r="A351" s="210" t="s">
        <v>74</v>
      </c>
      <c r="B351" s="163" t="s">
        <v>504</v>
      </c>
      <c r="C351" s="163" t="s">
        <v>256</v>
      </c>
      <c r="D351" s="163" t="s">
        <v>725</v>
      </c>
      <c r="E351" s="169" t="s">
        <v>75</v>
      </c>
      <c r="F351" s="169"/>
      <c r="G351" s="167">
        <v>98360</v>
      </c>
      <c r="H351" s="167">
        <v>98360</v>
      </c>
      <c r="I351" s="182">
        <v>98360</v>
      </c>
      <c r="J351" s="216">
        <f t="shared" ref="J351:J414" si="247">I351-H351</f>
        <v>0</v>
      </c>
      <c r="K351" s="216"/>
      <c r="L351" s="182">
        <v>98360</v>
      </c>
    </row>
    <row r="352" spans="1:12" outlineLevel="6">
      <c r="A352" s="208" t="s">
        <v>608</v>
      </c>
      <c r="B352" s="197" t="s">
        <v>504</v>
      </c>
      <c r="C352" s="197" t="s">
        <v>256</v>
      </c>
      <c r="D352" s="197" t="s">
        <v>609</v>
      </c>
      <c r="E352" s="198" t="s">
        <v>6</v>
      </c>
      <c r="F352" s="198"/>
      <c r="G352" s="167">
        <f t="shared" ref="G352:I354" si="248">G353</f>
        <v>0</v>
      </c>
      <c r="H352" s="167">
        <f t="shared" si="248"/>
        <v>0</v>
      </c>
      <c r="I352" s="182">
        <f t="shared" si="248"/>
        <v>0</v>
      </c>
      <c r="J352" s="216">
        <f t="shared" si="247"/>
        <v>0</v>
      </c>
      <c r="K352" s="216"/>
      <c r="L352" s="182">
        <f t="shared" ref="L352:L354" si="249">L353</f>
        <v>0</v>
      </c>
    </row>
    <row r="353" spans="1:12" ht="108" outlineLevel="6">
      <c r="A353" s="164" t="s">
        <v>524</v>
      </c>
      <c r="B353" s="163" t="s">
        <v>504</v>
      </c>
      <c r="C353" s="163" t="s">
        <v>256</v>
      </c>
      <c r="D353" s="163" t="s">
        <v>525</v>
      </c>
      <c r="E353" s="163" t="s">
        <v>6</v>
      </c>
      <c r="F353" s="167">
        <f>F354</f>
        <v>105024.54</v>
      </c>
      <c r="G353" s="167">
        <f t="shared" si="248"/>
        <v>0</v>
      </c>
      <c r="H353" s="167">
        <f t="shared" si="248"/>
        <v>0</v>
      </c>
      <c r="I353" s="182">
        <f t="shared" si="248"/>
        <v>0</v>
      </c>
      <c r="J353" s="216">
        <f t="shared" si="247"/>
        <v>0</v>
      </c>
      <c r="K353" s="216"/>
      <c r="L353" s="182">
        <f t="shared" si="249"/>
        <v>0</v>
      </c>
    </row>
    <row r="354" spans="1:12" ht="54" outlineLevel="6">
      <c r="A354" s="164" t="s">
        <v>37</v>
      </c>
      <c r="B354" s="163" t="s">
        <v>504</v>
      </c>
      <c r="C354" s="163" t="s">
        <v>256</v>
      </c>
      <c r="D354" s="163" t="s">
        <v>525</v>
      </c>
      <c r="E354" s="163" t="s">
        <v>38</v>
      </c>
      <c r="F354" s="167">
        <f>F355</f>
        <v>105024.54</v>
      </c>
      <c r="G354" s="167">
        <f t="shared" si="248"/>
        <v>0</v>
      </c>
      <c r="H354" s="167">
        <f t="shared" si="248"/>
        <v>0</v>
      </c>
      <c r="I354" s="182">
        <f t="shared" si="248"/>
        <v>0</v>
      </c>
      <c r="J354" s="216">
        <f t="shared" si="247"/>
        <v>0</v>
      </c>
      <c r="K354" s="216"/>
      <c r="L354" s="182">
        <f t="shared" si="249"/>
        <v>0</v>
      </c>
    </row>
    <row r="355" spans="1:12" outlineLevel="6">
      <c r="A355" s="164" t="s">
        <v>74</v>
      </c>
      <c r="B355" s="163" t="s">
        <v>504</v>
      </c>
      <c r="C355" s="163" t="s">
        <v>256</v>
      </c>
      <c r="D355" s="163" t="s">
        <v>525</v>
      </c>
      <c r="E355" s="163" t="s">
        <v>75</v>
      </c>
      <c r="F355" s="167">
        <v>105024.54</v>
      </c>
      <c r="G355" s="167">
        <v>0</v>
      </c>
      <c r="H355" s="167">
        <v>0</v>
      </c>
      <c r="I355" s="182"/>
      <c r="J355" s="216">
        <f t="shared" si="247"/>
        <v>0</v>
      </c>
      <c r="K355" s="216"/>
      <c r="L355" s="182"/>
    </row>
    <row r="356" spans="1:12" outlineLevel="7">
      <c r="A356" s="196" t="s">
        <v>79</v>
      </c>
      <c r="B356" s="197" t="s">
        <v>504</v>
      </c>
      <c r="C356" s="197" t="s">
        <v>80</v>
      </c>
      <c r="D356" s="197" t="s">
        <v>126</v>
      </c>
      <c r="E356" s="198" t="s">
        <v>6</v>
      </c>
      <c r="F356" s="171">
        <f>F357+F378+F381</f>
        <v>35763006.280000001</v>
      </c>
      <c r="G356" s="171">
        <f t="shared" ref="G356" si="250">G357+G378+G381</f>
        <v>25799948.490000002</v>
      </c>
      <c r="H356" s="171">
        <f>H357+H381</f>
        <v>33962060.940000005</v>
      </c>
      <c r="I356" s="171">
        <f>I357+I381</f>
        <v>34062060.940000005</v>
      </c>
      <c r="J356" s="216">
        <f t="shared" si="247"/>
        <v>100000</v>
      </c>
      <c r="K356" s="216"/>
      <c r="L356" s="171">
        <f>L357+L381</f>
        <v>34522060.940000005</v>
      </c>
    </row>
    <row r="357" spans="1:12" outlineLevel="2">
      <c r="A357" s="164" t="s">
        <v>81</v>
      </c>
      <c r="B357" s="163" t="s">
        <v>504</v>
      </c>
      <c r="C357" s="163" t="s">
        <v>82</v>
      </c>
      <c r="D357" s="163" t="s">
        <v>126</v>
      </c>
      <c r="E357" s="169" t="s">
        <v>6</v>
      </c>
      <c r="F357" s="167">
        <f>F358</f>
        <v>33612506.280000001</v>
      </c>
      <c r="G357" s="167">
        <f t="shared" ref="G357:I357" si="251">G358</f>
        <v>25128948.490000002</v>
      </c>
      <c r="H357" s="167">
        <f>H358</f>
        <v>33759913.550000004</v>
      </c>
      <c r="I357" s="182">
        <f t="shared" si="251"/>
        <v>33859913.550000004</v>
      </c>
      <c r="J357" s="216">
        <f t="shared" si="247"/>
        <v>100000</v>
      </c>
      <c r="K357" s="216"/>
      <c r="L357" s="182">
        <f t="shared" ref="L357" si="252">L358</f>
        <v>34319913.550000004</v>
      </c>
    </row>
    <row r="358" spans="1:12" ht="72" outlineLevel="3">
      <c r="A358" s="196" t="s">
        <v>369</v>
      </c>
      <c r="B358" s="197" t="s">
        <v>504</v>
      </c>
      <c r="C358" s="197" t="s">
        <v>82</v>
      </c>
      <c r="D358" s="197" t="s">
        <v>136</v>
      </c>
      <c r="E358" s="198" t="s">
        <v>6</v>
      </c>
      <c r="F358" s="171">
        <f>F359+F373+F363</f>
        <v>33612506.280000001</v>
      </c>
      <c r="G358" s="171">
        <f>G359+G376+G363</f>
        <v>25128948.490000002</v>
      </c>
      <c r="H358" s="171">
        <f>H359+H376+H363</f>
        <v>33759913.550000004</v>
      </c>
      <c r="I358" s="199">
        <f>I359+I376+I363</f>
        <v>33859913.550000004</v>
      </c>
      <c r="J358" s="216">
        <f t="shared" si="247"/>
        <v>100000</v>
      </c>
      <c r="K358" s="216"/>
      <c r="L358" s="199">
        <f>L359+L376+L363</f>
        <v>34319913.550000004</v>
      </c>
    </row>
    <row r="359" spans="1:12" ht="54" outlineLevel="4">
      <c r="A359" s="164" t="s">
        <v>370</v>
      </c>
      <c r="B359" s="163" t="s">
        <v>504</v>
      </c>
      <c r="C359" s="163" t="s">
        <v>82</v>
      </c>
      <c r="D359" s="163" t="s">
        <v>227</v>
      </c>
      <c r="E359" s="169" t="s">
        <v>6</v>
      </c>
      <c r="F359" s="167">
        <f>F370+F367+F360</f>
        <v>8599942.8900000006</v>
      </c>
      <c r="G359" s="167">
        <f>G373+G370+G360</f>
        <v>7913005</v>
      </c>
      <c r="H359" s="167">
        <f>H373+H370+H360</f>
        <v>9234070.6100000013</v>
      </c>
      <c r="I359" s="182">
        <f>I373+I370+I360</f>
        <v>9334070.6100000013</v>
      </c>
      <c r="J359" s="216">
        <f t="shared" si="247"/>
        <v>100000</v>
      </c>
      <c r="K359" s="216"/>
      <c r="L359" s="182">
        <f>L373+L370+L360</f>
        <v>9334070.6100000013</v>
      </c>
    </row>
    <row r="360" spans="1:12" ht="54" outlineLevel="7">
      <c r="A360" s="33" t="s">
        <v>84</v>
      </c>
      <c r="B360" s="163" t="s">
        <v>504</v>
      </c>
      <c r="C360" s="163" t="s">
        <v>82</v>
      </c>
      <c r="D360" s="163" t="s">
        <v>141</v>
      </c>
      <c r="E360" s="169" t="s">
        <v>6</v>
      </c>
      <c r="F360" s="167">
        <f>F361</f>
        <v>8373500</v>
      </c>
      <c r="G360" s="167">
        <f t="shared" ref="G360:I361" si="253">G361</f>
        <v>7740500</v>
      </c>
      <c r="H360" s="167">
        <f t="shared" si="253"/>
        <v>9229030.4600000009</v>
      </c>
      <c r="I360" s="182">
        <f t="shared" si="253"/>
        <v>9329030.4600000009</v>
      </c>
      <c r="J360" s="216">
        <f t="shared" si="247"/>
        <v>100000</v>
      </c>
      <c r="K360" s="216"/>
      <c r="L360" s="182">
        <f t="shared" ref="L360:L361" si="254">L361</f>
        <v>9329030.4600000009</v>
      </c>
    </row>
    <row r="361" spans="1:12" ht="54" outlineLevel="7">
      <c r="A361" s="164" t="s">
        <v>37</v>
      </c>
      <c r="B361" s="163" t="s">
        <v>504</v>
      </c>
      <c r="C361" s="163" t="s">
        <v>82</v>
      </c>
      <c r="D361" s="163" t="s">
        <v>141</v>
      </c>
      <c r="E361" s="169" t="s">
        <v>38</v>
      </c>
      <c r="F361" s="167">
        <f>F362</f>
        <v>8373500</v>
      </c>
      <c r="G361" s="167">
        <f t="shared" si="253"/>
        <v>7740500</v>
      </c>
      <c r="H361" s="167">
        <f t="shared" si="253"/>
        <v>9229030.4600000009</v>
      </c>
      <c r="I361" s="182">
        <f t="shared" si="253"/>
        <v>9329030.4600000009</v>
      </c>
      <c r="J361" s="216">
        <f t="shared" si="247"/>
        <v>100000</v>
      </c>
      <c r="K361" s="216"/>
      <c r="L361" s="182">
        <f t="shared" si="254"/>
        <v>9329030.4600000009</v>
      </c>
    </row>
    <row r="362" spans="1:12" outlineLevel="7">
      <c r="A362" s="164" t="s">
        <v>74</v>
      </c>
      <c r="B362" s="163" t="s">
        <v>504</v>
      </c>
      <c r="C362" s="163" t="s">
        <v>82</v>
      </c>
      <c r="D362" s="163" t="s">
        <v>141</v>
      </c>
      <c r="E362" s="169" t="s">
        <v>75</v>
      </c>
      <c r="F362" s="167">
        <v>8373500</v>
      </c>
      <c r="G362" s="167">
        <v>7740500</v>
      </c>
      <c r="H362" s="218">
        <v>9229030.4600000009</v>
      </c>
      <c r="I362" s="204">
        <f>9229030.46+100000</f>
        <v>9329030.4600000009</v>
      </c>
      <c r="J362" s="216">
        <f t="shared" si="247"/>
        <v>100000</v>
      </c>
      <c r="K362" s="216"/>
      <c r="L362" s="204">
        <f>9229030.46+100000</f>
        <v>9329030.4600000009</v>
      </c>
    </row>
    <row r="363" spans="1:12" ht="36" outlineLevel="7">
      <c r="A363" s="164" t="s">
        <v>689</v>
      </c>
      <c r="B363" s="163" t="s">
        <v>504</v>
      </c>
      <c r="C363" s="163" t="s">
        <v>82</v>
      </c>
      <c r="D363" s="163" t="s">
        <v>688</v>
      </c>
      <c r="E363" s="169" t="s">
        <v>6</v>
      </c>
      <c r="F363" s="167">
        <f>F364</f>
        <v>25005560</v>
      </c>
      <c r="G363" s="167">
        <f>G364+G367</f>
        <v>16544943.49</v>
      </c>
      <c r="H363" s="167">
        <f>H364+H367</f>
        <v>23779342.940000001</v>
      </c>
      <c r="I363" s="182">
        <f>I364+I367</f>
        <v>23779342.940000001</v>
      </c>
      <c r="J363" s="216">
        <f t="shared" si="247"/>
        <v>0</v>
      </c>
      <c r="K363" s="216"/>
      <c r="L363" s="182">
        <f>L364+L367</f>
        <v>24239342.940000001</v>
      </c>
    </row>
    <row r="364" spans="1:12" ht="54" outlineLevel="7">
      <c r="A364" s="33" t="s">
        <v>84</v>
      </c>
      <c r="B364" s="163" t="s">
        <v>504</v>
      </c>
      <c r="C364" s="163" t="s">
        <v>82</v>
      </c>
      <c r="D364" s="163" t="s">
        <v>687</v>
      </c>
      <c r="E364" s="169" t="s">
        <v>6</v>
      </c>
      <c r="F364" s="167">
        <f>F365</f>
        <v>25005560</v>
      </c>
      <c r="G364" s="167">
        <f t="shared" ref="G364:I365" si="255">G365</f>
        <v>16544943.49</v>
      </c>
      <c r="H364" s="167">
        <f t="shared" si="255"/>
        <v>23779342.940000001</v>
      </c>
      <c r="I364" s="182">
        <f t="shared" si="255"/>
        <v>23779342.940000001</v>
      </c>
      <c r="J364" s="216">
        <f t="shared" si="247"/>
        <v>0</v>
      </c>
      <c r="K364" s="216"/>
      <c r="L364" s="182">
        <f t="shared" ref="L364:L365" si="256">L365</f>
        <v>24239342.940000001</v>
      </c>
    </row>
    <row r="365" spans="1:12" ht="54" outlineLevel="7">
      <c r="A365" s="164" t="s">
        <v>37</v>
      </c>
      <c r="B365" s="163" t="s">
        <v>504</v>
      </c>
      <c r="C365" s="163" t="s">
        <v>82</v>
      </c>
      <c r="D365" s="163" t="s">
        <v>687</v>
      </c>
      <c r="E365" s="169" t="s">
        <v>38</v>
      </c>
      <c r="F365" s="167">
        <f>F366</f>
        <v>25005560</v>
      </c>
      <c r="G365" s="167">
        <f t="shared" si="255"/>
        <v>16544943.49</v>
      </c>
      <c r="H365" s="167">
        <f t="shared" si="255"/>
        <v>23779342.940000001</v>
      </c>
      <c r="I365" s="182">
        <f t="shared" si="255"/>
        <v>23779342.940000001</v>
      </c>
      <c r="J365" s="216">
        <f t="shared" si="247"/>
        <v>0</v>
      </c>
      <c r="K365" s="216"/>
      <c r="L365" s="182">
        <f t="shared" si="256"/>
        <v>24239342.940000001</v>
      </c>
    </row>
    <row r="366" spans="1:12" outlineLevel="7">
      <c r="A366" s="164" t="s">
        <v>74</v>
      </c>
      <c r="B366" s="163" t="s">
        <v>504</v>
      </c>
      <c r="C366" s="163" t="s">
        <v>82</v>
      </c>
      <c r="D366" s="163" t="s">
        <v>687</v>
      </c>
      <c r="E366" s="169" t="s">
        <v>75</v>
      </c>
      <c r="F366" s="167">
        <v>25005560</v>
      </c>
      <c r="G366" s="167">
        <f>16530943.49+14000</f>
        <v>16544943.49</v>
      </c>
      <c r="H366" s="218">
        <v>23779342.940000001</v>
      </c>
      <c r="I366" s="204">
        <v>23779342.940000001</v>
      </c>
      <c r="J366" s="216">
        <f t="shared" si="247"/>
        <v>0</v>
      </c>
      <c r="K366" s="216">
        <v>460000</v>
      </c>
      <c r="L366" s="204">
        <f>23779342.94+460000</f>
        <v>24239342.940000001</v>
      </c>
    </row>
    <row r="367" spans="1:12" ht="126" outlineLevel="7">
      <c r="A367" s="210" t="s">
        <v>724</v>
      </c>
      <c r="B367" s="163" t="s">
        <v>504</v>
      </c>
      <c r="C367" s="163" t="s">
        <v>82</v>
      </c>
      <c r="D367" s="163" t="s">
        <v>726</v>
      </c>
      <c r="E367" s="169" t="s">
        <v>6</v>
      </c>
      <c r="F367" s="169"/>
      <c r="G367" s="167">
        <f t="shared" ref="G367:I368" si="257">G368</f>
        <v>0</v>
      </c>
      <c r="H367" s="167">
        <f t="shared" si="257"/>
        <v>0</v>
      </c>
      <c r="I367" s="182">
        <f t="shared" si="257"/>
        <v>0</v>
      </c>
      <c r="J367" s="216">
        <f t="shared" si="247"/>
        <v>0</v>
      </c>
      <c r="K367" s="216"/>
      <c r="L367" s="182">
        <f t="shared" ref="L367:L368" si="258">L368</f>
        <v>0</v>
      </c>
    </row>
    <row r="368" spans="1:12" ht="54" outlineLevel="7">
      <c r="A368" s="164" t="s">
        <v>37</v>
      </c>
      <c r="B368" s="163" t="s">
        <v>504</v>
      </c>
      <c r="C368" s="163" t="s">
        <v>82</v>
      </c>
      <c r="D368" s="163" t="s">
        <v>726</v>
      </c>
      <c r="E368" s="169" t="s">
        <v>38</v>
      </c>
      <c r="F368" s="169"/>
      <c r="G368" s="167">
        <f t="shared" si="257"/>
        <v>0</v>
      </c>
      <c r="H368" s="167">
        <f t="shared" si="257"/>
        <v>0</v>
      </c>
      <c r="I368" s="182">
        <f t="shared" si="257"/>
        <v>0</v>
      </c>
      <c r="J368" s="216">
        <f t="shared" si="247"/>
        <v>0</v>
      </c>
      <c r="K368" s="216"/>
      <c r="L368" s="182">
        <f t="shared" si="258"/>
        <v>0</v>
      </c>
    </row>
    <row r="369" spans="1:12" outlineLevel="7">
      <c r="A369" s="210" t="s">
        <v>74</v>
      </c>
      <c r="B369" s="163" t="s">
        <v>504</v>
      </c>
      <c r="C369" s="163" t="s">
        <v>82</v>
      </c>
      <c r="D369" s="163" t="s">
        <v>726</v>
      </c>
      <c r="E369" s="169" t="s">
        <v>75</v>
      </c>
      <c r="F369" s="169"/>
      <c r="G369" s="167">
        <v>0</v>
      </c>
      <c r="H369" s="218">
        <v>0</v>
      </c>
      <c r="I369" s="204"/>
      <c r="J369" s="216">
        <f t="shared" si="247"/>
        <v>0</v>
      </c>
      <c r="K369" s="216"/>
      <c r="L369" s="204"/>
    </row>
    <row r="370" spans="1:12" ht="90" outlineLevel="7">
      <c r="A370" s="187" t="s">
        <v>393</v>
      </c>
      <c r="B370" s="163" t="s">
        <v>504</v>
      </c>
      <c r="C370" s="163" t="s">
        <v>82</v>
      </c>
      <c r="D370" s="163" t="s">
        <v>294</v>
      </c>
      <c r="E370" s="169" t="s">
        <v>6</v>
      </c>
      <c r="F370" s="167">
        <f>F371</f>
        <v>226442.89</v>
      </c>
      <c r="G370" s="167">
        <f t="shared" ref="G370:I371" si="259">G371</f>
        <v>168005</v>
      </c>
      <c r="H370" s="167">
        <f t="shared" si="259"/>
        <v>0</v>
      </c>
      <c r="I370" s="182">
        <f t="shared" si="259"/>
        <v>0</v>
      </c>
      <c r="J370" s="216">
        <f t="shared" si="247"/>
        <v>0</v>
      </c>
      <c r="K370" s="216"/>
      <c r="L370" s="182">
        <f t="shared" ref="L370:L371" si="260">L371</f>
        <v>0</v>
      </c>
    </row>
    <row r="371" spans="1:12" ht="54" outlineLevel="7">
      <c r="A371" s="164" t="s">
        <v>37</v>
      </c>
      <c r="B371" s="163" t="s">
        <v>504</v>
      </c>
      <c r="C371" s="163" t="s">
        <v>82</v>
      </c>
      <c r="D371" s="163" t="s">
        <v>294</v>
      </c>
      <c r="E371" s="169" t="s">
        <v>38</v>
      </c>
      <c r="F371" s="167">
        <f>F372</f>
        <v>226442.89</v>
      </c>
      <c r="G371" s="167">
        <f t="shared" si="259"/>
        <v>168005</v>
      </c>
      <c r="H371" s="167">
        <f t="shared" si="259"/>
        <v>0</v>
      </c>
      <c r="I371" s="182">
        <f t="shared" si="259"/>
        <v>0</v>
      </c>
      <c r="J371" s="216">
        <f t="shared" si="247"/>
        <v>0</v>
      </c>
      <c r="K371" s="216"/>
      <c r="L371" s="182">
        <f t="shared" si="260"/>
        <v>0</v>
      </c>
    </row>
    <row r="372" spans="1:12" outlineLevel="7">
      <c r="A372" s="164" t="s">
        <v>74</v>
      </c>
      <c r="B372" s="163" t="s">
        <v>504</v>
      </c>
      <c r="C372" s="163" t="s">
        <v>82</v>
      </c>
      <c r="D372" s="163" t="s">
        <v>294</v>
      </c>
      <c r="E372" s="169" t="s">
        <v>75</v>
      </c>
      <c r="F372" s="167">
        <v>226442.89</v>
      </c>
      <c r="G372" s="167">
        <v>168005</v>
      </c>
      <c r="H372" s="218"/>
      <c r="I372" s="204"/>
      <c r="J372" s="216">
        <f t="shared" si="247"/>
        <v>0</v>
      </c>
      <c r="K372" s="216"/>
      <c r="L372" s="204"/>
    </row>
    <row r="373" spans="1:12" ht="90" outlineLevel="5">
      <c r="A373" s="164" t="s">
        <v>307</v>
      </c>
      <c r="B373" s="163" t="s">
        <v>504</v>
      </c>
      <c r="C373" s="163" t="s">
        <v>82</v>
      </c>
      <c r="D373" s="163" t="s">
        <v>308</v>
      </c>
      <c r="E373" s="169" t="s">
        <v>6</v>
      </c>
      <c r="F373" s="167">
        <f>F374</f>
        <v>7003.39</v>
      </c>
      <c r="G373" s="167">
        <f t="shared" ref="G373:I374" si="261">G374</f>
        <v>4500</v>
      </c>
      <c r="H373" s="167">
        <f t="shared" si="261"/>
        <v>5040.1499999999996</v>
      </c>
      <c r="I373" s="182">
        <f t="shared" si="261"/>
        <v>5040.1499999999996</v>
      </c>
      <c r="J373" s="216">
        <f t="shared" si="247"/>
        <v>0</v>
      </c>
      <c r="K373" s="216"/>
      <c r="L373" s="182">
        <f t="shared" ref="L373:L374" si="262">L374</f>
        <v>5040.1499999999996</v>
      </c>
    </row>
    <row r="374" spans="1:12" ht="54" outlineLevel="6">
      <c r="A374" s="164" t="s">
        <v>37</v>
      </c>
      <c r="B374" s="163" t="s">
        <v>504</v>
      </c>
      <c r="C374" s="163" t="s">
        <v>82</v>
      </c>
      <c r="D374" s="163" t="s">
        <v>308</v>
      </c>
      <c r="E374" s="169" t="s">
        <v>38</v>
      </c>
      <c r="F374" s="167">
        <f>F375</f>
        <v>7003.39</v>
      </c>
      <c r="G374" s="167">
        <f t="shared" si="261"/>
        <v>4500</v>
      </c>
      <c r="H374" s="167">
        <f t="shared" si="261"/>
        <v>5040.1499999999996</v>
      </c>
      <c r="I374" s="182">
        <f t="shared" si="261"/>
        <v>5040.1499999999996</v>
      </c>
      <c r="J374" s="216">
        <f t="shared" si="247"/>
        <v>0</v>
      </c>
      <c r="K374" s="216"/>
      <c r="L374" s="182">
        <f t="shared" si="262"/>
        <v>5040.1499999999996</v>
      </c>
    </row>
    <row r="375" spans="1:12" outlineLevel="7">
      <c r="A375" s="164" t="s">
        <v>74</v>
      </c>
      <c r="B375" s="163" t="s">
        <v>504</v>
      </c>
      <c r="C375" s="163" t="s">
        <v>82</v>
      </c>
      <c r="D375" s="163" t="s">
        <v>308</v>
      </c>
      <c r="E375" s="169" t="s">
        <v>75</v>
      </c>
      <c r="F375" s="167">
        <v>7003.39</v>
      </c>
      <c r="G375" s="167">
        <v>4500</v>
      </c>
      <c r="H375" s="184">
        <v>5040.1499999999996</v>
      </c>
      <c r="I375" s="195">
        <v>5040.1499999999996</v>
      </c>
      <c r="J375" s="216">
        <f t="shared" si="247"/>
        <v>0</v>
      </c>
      <c r="K375" s="216"/>
      <c r="L375" s="195">
        <v>5040.1499999999996</v>
      </c>
    </row>
    <row r="376" spans="1:12" ht="36" outlineLevel="2">
      <c r="A376" s="164" t="s">
        <v>211</v>
      </c>
      <c r="B376" s="163" t="s">
        <v>504</v>
      </c>
      <c r="C376" s="163" t="s">
        <v>82</v>
      </c>
      <c r="D376" s="163" t="s">
        <v>229</v>
      </c>
      <c r="E376" s="169" t="s">
        <v>6</v>
      </c>
      <c r="F376" s="184">
        <f>F377</f>
        <v>1970500</v>
      </c>
      <c r="G376" s="184">
        <f t="shared" ref="G376:I377" si="263">G377</f>
        <v>671000</v>
      </c>
      <c r="H376" s="184">
        <f t="shared" si="263"/>
        <v>746500</v>
      </c>
      <c r="I376" s="195">
        <f t="shared" si="263"/>
        <v>746500</v>
      </c>
      <c r="J376" s="216">
        <f t="shared" si="247"/>
        <v>0</v>
      </c>
      <c r="K376" s="216"/>
      <c r="L376" s="195">
        <f t="shared" ref="L376:L377" si="264">L377</f>
        <v>746500</v>
      </c>
    </row>
    <row r="377" spans="1:12" ht="36" outlineLevel="3">
      <c r="A377" s="164" t="s">
        <v>83</v>
      </c>
      <c r="B377" s="163" t="s">
        <v>504</v>
      </c>
      <c r="C377" s="163" t="s">
        <v>82</v>
      </c>
      <c r="D377" s="163" t="s">
        <v>140</v>
      </c>
      <c r="E377" s="169" t="s">
        <v>6</v>
      </c>
      <c r="F377" s="167">
        <f>F378</f>
        <v>1970500</v>
      </c>
      <c r="G377" s="167">
        <f t="shared" si="263"/>
        <v>671000</v>
      </c>
      <c r="H377" s="167">
        <f t="shared" si="263"/>
        <v>746500</v>
      </c>
      <c r="I377" s="182">
        <f t="shared" si="263"/>
        <v>746500</v>
      </c>
      <c r="J377" s="216">
        <f t="shared" si="247"/>
        <v>0</v>
      </c>
      <c r="K377" s="216"/>
      <c r="L377" s="182">
        <f t="shared" si="264"/>
        <v>746500</v>
      </c>
    </row>
    <row r="378" spans="1:12" ht="54" outlineLevel="4">
      <c r="A378" s="164" t="s">
        <v>37</v>
      </c>
      <c r="B378" s="163" t="s">
        <v>504</v>
      </c>
      <c r="C378" s="163" t="s">
        <v>82</v>
      </c>
      <c r="D378" s="163" t="s">
        <v>140</v>
      </c>
      <c r="E378" s="169" t="s">
        <v>38</v>
      </c>
      <c r="F378" s="167">
        <f>F379+F380</f>
        <v>1970500</v>
      </c>
      <c r="G378" s="167">
        <f t="shared" ref="G378:H378" si="265">G379+G380</f>
        <v>671000</v>
      </c>
      <c r="H378" s="167">
        <f t="shared" si="265"/>
        <v>746500</v>
      </c>
      <c r="I378" s="182">
        <f t="shared" ref="I378" si="266">I379+I380</f>
        <v>746500</v>
      </c>
      <c r="J378" s="216">
        <f t="shared" si="247"/>
        <v>0</v>
      </c>
      <c r="K378" s="216"/>
      <c r="L378" s="182">
        <f t="shared" ref="L378" si="267">L379+L380</f>
        <v>746500</v>
      </c>
    </row>
    <row r="379" spans="1:12" outlineLevel="5">
      <c r="A379" s="164" t="s">
        <v>74</v>
      </c>
      <c r="B379" s="163" t="s">
        <v>504</v>
      </c>
      <c r="C379" s="163" t="s">
        <v>82</v>
      </c>
      <c r="D379" s="163" t="s">
        <v>140</v>
      </c>
      <c r="E379" s="169" t="s">
        <v>75</v>
      </c>
      <c r="F379" s="167">
        <v>1856500</v>
      </c>
      <c r="G379" s="167">
        <v>557000</v>
      </c>
      <c r="H379" s="167">
        <v>632500</v>
      </c>
      <c r="I379" s="182">
        <v>632500</v>
      </c>
      <c r="J379" s="216">
        <f t="shared" si="247"/>
        <v>0</v>
      </c>
      <c r="K379" s="216"/>
      <c r="L379" s="182">
        <v>632500</v>
      </c>
    </row>
    <row r="380" spans="1:12" ht="54" outlineLevel="6">
      <c r="A380" s="164" t="s">
        <v>371</v>
      </c>
      <c r="B380" s="163" t="s">
        <v>504</v>
      </c>
      <c r="C380" s="163" t="s">
        <v>82</v>
      </c>
      <c r="D380" s="163" t="s">
        <v>140</v>
      </c>
      <c r="E380" s="169" t="s">
        <v>252</v>
      </c>
      <c r="F380" s="167">
        <v>114000</v>
      </c>
      <c r="G380" s="167">
        <v>114000</v>
      </c>
      <c r="H380" s="167">
        <v>114000</v>
      </c>
      <c r="I380" s="182">
        <v>114000</v>
      </c>
      <c r="J380" s="216">
        <f t="shared" si="247"/>
        <v>0</v>
      </c>
      <c r="K380" s="216"/>
      <c r="L380" s="182">
        <v>114000</v>
      </c>
    </row>
    <row r="381" spans="1:12" ht="36" outlineLevel="6">
      <c r="A381" s="164" t="s">
        <v>526</v>
      </c>
      <c r="B381" s="163" t="s">
        <v>504</v>
      </c>
      <c r="C381" s="163" t="s">
        <v>527</v>
      </c>
      <c r="D381" s="163" t="s">
        <v>126</v>
      </c>
      <c r="E381" s="163" t="s">
        <v>6</v>
      </c>
      <c r="F381" s="167">
        <f>F382</f>
        <v>180000</v>
      </c>
      <c r="G381" s="167">
        <f t="shared" ref="G381:I385" si="268">G382</f>
        <v>0</v>
      </c>
      <c r="H381" s="167">
        <f t="shared" si="268"/>
        <v>202147.39</v>
      </c>
      <c r="I381" s="182">
        <f t="shared" si="268"/>
        <v>202147.39</v>
      </c>
      <c r="J381" s="216">
        <f t="shared" si="247"/>
        <v>0</v>
      </c>
      <c r="K381" s="216"/>
      <c r="L381" s="182">
        <f t="shared" ref="L381:L385" si="269">L382</f>
        <v>202147.39</v>
      </c>
    </row>
    <row r="382" spans="1:12" ht="54" outlineLevel="6">
      <c r="A382" s="164" t="s">
        <v>369</v>
      </c>
      <c r="B382" s="163" t="s">
        <v>504</v>
      </c>
      <c r="C382" s="163" t="s">
        <v>527</v>
      </c>
      <c r="D382" s="163" t="s">
        <v>136</v>
      </c>
      <c r="E382" s="163" t="s">
        <v>6</v>
      </c>
      <c r="F382" s="167">
        <f>F383</f>
        <v>180000</v>
      </c>
      <c r="G382" s="167">
        <f t="shared" si="268"/>
        <v>0</v>
      </c>
      <c r="H382" s="167">
        <f t="shared" si="268"/>
        <v>202147.39</v>
      </c>
      <c r="I382" s="182">
        <f t="shared" si="268"/>
        <v>202147.39</v>
      </c>
      <c r="J382" s="216">
        <f t="shared" si="247"/>
        <v>0</v>
      </c>
      <c r="K382" s="216"/>
      <c r="L382" s="182">
        <f t="shared" si="269"/>
        <v>202147.39</v>
      </c>
    </row>
    <row r="383" spans="1:12" ht="36" outlineLevel="6">
      <c r="A383" s="164" t="s">
        <v>211</v>
      </c>
      <c r="B383" s="163" t="s">
        <v>504</v>
      </c>
      <c r="C383" s="163" t="s">
        <v>527</v>
      </c>
      <c r="D383" s="163" t="s">
        <v>229</v>
      </c>
      <c r="E383" s="163" t="s">
        <v>6</v>
      </c>
      <c r="F383" s="167">
        <f>F384</f>
        <v>180000</v>
      </c>
      <c r="G383" s="167">
        <f t="shared" si="268"/>
        <v>0</v>
      </c>
      <c r="H383" s="167">
        <f t="shared" si="268"/>
        <v>202147.39</v>
      </c>
      <c r="I383" s="182">
        <f t="shared" si="268"/>
        <v>202147.39</v>
      </c>
      <c r="J383" s="216">
        <f t="shared" si="247"/>
        <v>0</v>
      </c>
      <c r="K383" s="216"/>
      <c r="L383" s="182">
        <f t="shared" si="269"/>
        <v>202147.39</v>
      </c>
    </row>
    <row r="384" spans="1:12" ht="72" outlineLevel="6">
      <c r="A384" s="164" t="s">
        <v>528</v>
      </c>
      <c r="B384" s="163" t="s">
        <v>504</v>
      </c>
      <c r="C384" s="163" t="s">
        <v>527</v>
      </c>
      <c r="D384" s="163" t="s">
        <v>529</v>
      </c>
      <c r="E384" s="163" t="s">
        <v>6</v>
      </c>
      <c r="F384" s="167">
        <f>F385</f>
        <v>180000</v>
      </c>
      <c r="G384" s="167">
        <f t="shared" si="268"/>
        <v>0</v>
      </c>
      <c r="H384" s="167">
        <f t="shared" si="268"/>
        <v>202147.39</v>
      </c>
      <c r="I384" s="182">
        <f t="shared" si="268"/>
        <v>202147.39</v>
      </c>
      <c r="J384" s="216">
        <f t="shared" si="247"/>
        <v>0</v>
      </c>
      <c r="K384" s="216"/>
      <c r="L384" s="182">
        <f t="shared" si="269"/>
        <v>202147.39</v>
      </c>
    </row>
    <row r="385" spans="1:12" ht="54" outlineLevel="6">
      <c r="A385" s="164" t="s">
        <v>37</v>
      </c>
      <c r="B385" s="163" t="s">
        <v>504</v>
      </c>
      <c r="C385" s="163" t="s">
        <v>527</v>
      </c>
      <c r="D385" s="163" t="s">
        <v>529</v>
      </c>
      <c r="E385" s="163" t="s">
        <v>38</v>
      </c>
      <c r="F385" s="167">
        <f>F386</f>
        <v>180000</v>
      </c>
      <c r="G385" s="167">
        <f t="shared" si="268"/>
        <v>0</v>
      </c>
      <c r="H385" s="167">
        <f t="shared" si="268"/>
        <v>202147.39</v>
      </c>
      <c r="I385" s="182">
        <f t="shared" si="268"/>
        <v>202147.39</v>
      </c>
      <c r="J385" s="216">
        <f t="shared" si="247"/>
        <v>0</v>
      </c>
      <c r="K385" s="216"/>
      <c r="L385" s="182">
        <f t="shared" si="269"/>
        <v>202147.39</v>
      </c>
    </row>
    <row r="386" spans="1:12" outlineLevel="6">
      <c r="A386" s="164" t="s">
        <v>74</v>
      </c>
      <c r="B386" s="163" t="s">
        <v>504</v>
      </c>
      <c r="C386" s="163" t="s">
        <v>527</v>
      </c>
      <c r="D386" s="163" t="s">
        <v>529</v>
      </c>
      <c r="E386" s="163" t="s">
        <v>75</v>
      </c>
      <c r="F386" s="167">
        <v>180000</v>
      </c>
      <c r="G386" s="167">
        <v>0</v>
      </c>
      <c r="H386" s="167">
        <v>202147.39</v>
      </c>
      <c r="I386" s="182">
        <v>202147.39</v>
      </c>
      <c r="J386" s="216">
        <f t="shared" si="247"/>
        <v>0</v>
      </c>
      <c r="K386" s="216"/>
      <c r="L386" s="182">
        <v>202147.39</v>
      </c>
    </row>
    <row r="387" spans="1:12" outlineLevel="7">
      <c r="A387" s="196" t="s">
        <v>85</v>
      </c>
      <c r="B387" s="197" t="s">
        <v>504</v>
      </c>
      <c r="C387" s="197" t="s">
        <v>86</v>
      </c>
      <c r="D387" s="197" t="s">
        <v>126</v>
      </c>
      <c r="E387" s="198" t="s">
        <v>6</v>
      </c>
      <c r="F387" s="171">
        <f>F388+F393+F408</f>
        <v>40237941.520000003</v>
      </c>
      <c r="G387" s="171">
        <f>G388+G393+G408</f>
        <v>22024638.98</v>
      </c>
      <c r="H387" s="171">
        <f>H388+H393+H408</f>
        <v>42323719.289999999</v>
      </c>
      <c r="I387" s="199">
        <f>I388+I393+I408</f>
        <v>42323719.289999999</v>
      </c>
      <c r="J387" s="216">
        <f t="shared" si="247"/>
        <v>0</v>
      </c>
      <c r="K387" s="216"/>
      <c r="L387" s="199">
        <f>L388+L393+L408</f>
        <v>42323719.289999999</v>
      </c>
    </row>
    <row r="388" spans="1:12" outlineLevel="7">
      <c r="A388" s="164" t="s">
        <v>87</v>
      </c>
      <c r="B388" s="163" t="s">
        <v>504</v>
      </c>
      <c r="C388" s="163" t="s">
        <v>88</v>
      </c>
      <c r="D388" s="163" t="s">
        <v>126</v>
      </c>
      <c r="E388" s="169" t="s">
        <v>6</v>
      </c>
      <c r="F388" s="167">
        <f>F389</f>
        <v>5559675.2400000002</v>
      </c>
      <c r="G388" s="167">
        <f t="shared" ref="G388:I391" si="270">G389</f>
        <v>5301675.24</v>
      </c>
      <c r="H388" s="167">
        <f t="shared" si="270"/>
        <v>5386176</v>
      </c>
      <c r="I388" s="182">
        <f t="shared" si="270"/>
        <v>5386176</v>
      </c>
      <c r="J388" s="216">
        <f t="shared" si="247"/>
        <v>0</v>
      </c>
      <c r="K388" s="216"/>
      <c r="L388" s="182">
        <f t="shared" ref="L388:L391" si="271">L389</f>
        <v>5386176</v>
      </c>
    </row>
    <row r="389" spans="1:12" ht="54" outlineLevel="7">
      <c r="A389" s="196" t="s">
        <v>132</v>
      </c>
      <c r="B389" s="197" t="s">
        <v>504</v>
      </c>
      <c r="C389" s="197" t="s">
        <v>88</v>
      </c>
      <c r="D389" s="197" t="s">
        <v>127</v>
      </c>
      <c r="E389" s="198" t="s">
        <v>6</v>
      </c>
      <c r="F389" s="167">
        <f>F390</f>
        <v>5559675.2400000002</v>
      </c>
      <c r="G389" s="171">
        <f t="shared" si="270"/>
        <v>5301675.24</v>
      </c>
      <c r="H389" s="171">
        <f t="shared" si="270"/>
        <v>5386176</v>
      </c>
      <c r="I389" s="199">
        <f t="shared" si="270"/>
        <v>5386176</v>
      </c>
      <c r="J389" s="216">
        <f t="shared" si="247"/>
        <v>0</v>
      </c>
      <c r="K389" s="216"/>
      <c r="L389" s="199">
        <f t="shared" si="271"/>
        <v>5386176</v>
      </c>
    </row>
    <row r="390" spans="1:12" ht="36" outlineLevel="7">
      <c r="A390" s="164" t="s">
        <v>89</v>
      </c>
      <c r="B390" s="163" t="s">
        <v>504</v>
      </c>
      <c r="C390" s="163" t="s">
        <v>88</v>
      </c>
      <c r="D390" s="163" t="s">
        <v>142</v>
      </c>
      <c r="E390" s="169" t="s">
        <v>6</v>
      </c>
      <c r="F390" s="167">
        <f>F391</f>
        <v>5559675.2400000002</v>
      </c>
      <c r="G390" s="167">
        <f t="shared" si="270"/>
        <v>5301675.24</v>
      </c>
      <c r="H390" s="167">
        <f t="shared" si="270"/>
        <v>5386176</v>
      </c>
      <c r="I390" s="182">
        <f t="shared" si="270"/>
        <v>5386176</v>
      </c>
      <c r="J390" s="216">
        <f t="shared" si="247"/>
        <v>0</v>
      </c>
      <c r="K390" s="216"/>
      <c r="L390" s="182">
        <f t="shared" si="271"/>
        <v>5386176</v>
      </c>
    </row>
    <row r="391" spans="1:12" ht="36" outlineLevel="7">
      <c r="A391" s="164" t="s">
        <v>90</v>
      </c>
      <c r="B391" s="163" t="s">
        <v>504</v>
      </c>
      <c r="C391" s="163" t="s">
        <v>88</v>
      </c>
      <c r="D391" s="163" t="s">
        <v>142</v>
      </c>
      <c r="E391" s="169" t="s">
        <v>91</v>
      </c>
      <c r="F391" s="167">
        <f>F392</f>
        <v>5559675.2400000002</v>
      </c>
      <c r="G391" s="167">
        <f t="shared" si="270"/>
        <v>5301675.24</v>
      </c>
      <c r="H391" s="167">
        <f t="shared" si="270"/>
        <v>5386176</v>
      </c>
      <c r="I391" s="182">
        <f t="shared" si="270"/>
        <v>5386176</v>
      </c>
      <c r="J391" s="216">
        <f t="shared" si="247"/>
        <v>0</v>
      </c>
      <c r="K391" s="216"/>
      <c r="L391" s="182">
        <f t="shared" si="271"/>
        <v>5386176</v>
      </c>
    </row>
    <row r="392" spans="1:12" ht="36" outlineLevel="7">
      <c r="A392" s="164" t="s">
        <v>92</v>
      </c>
      <c r="B392" s="163" t="s">
        <v>504</v>
      </c>
      <c r="C392" s="163" t="s">
        <v>88</v>
      </c>
      <c r="D392" s="163" t="s">
        <v>142</v>
      </c>
      <c r="E392" s="169" t="s">
        <v>93</v>
      </c>
      <c r="F392" s="167">
        <v>5559675.2400000002</v>
      </c>
      <c r="G392" s="167">
        <v>5301675.24</v>
      </c>
      <c r="H392" s="218">
        <v>5386176</v>
      </c>
      <c r="I392" s="204">
        <v>5386176</v>
      </c>
      <c r="J392" s="216">
        <f t="shared" si="247"/>
        <v>0</v>
      </c>
      <c r="K392" s="216"/>
      <c r="L392" s="204">
        <v>5386176</v>
      </c>
    </row>
    <row r="393" spans="1:12" outlineLevel="7">
      <c r="A393" s="164" t="s">
        <v>94</v>
      </c>
      <c r="B393" s="163" t="s">
        <v>504</v>
      </c>
      <c r="C393" s="163" t="s">
        <v>95</v>
      </c>
      <c r="D393" s="163" t="s">
        <v>126</v>
      </c>
      <c r="E393" s="169" t="s">
        <v>6</v>
      </c>
      <c r="F393" s="167">
        <f>F394+F404+F399</f>
        <v>858600</v>
      </c>
      <c r="G393" s="167">
        <f>G394+G404+G399</f>
        <v>994383.02999999991</v>
      </c>
      <c r="H393" s="167">
        <f>H394+H404+H399</f>
        <v>1003343.25</v>
      </c>
      <c r="I393" s="182">
        <f>I394+I404+I399</f>
        <v>1003343.25</v>
      </c>
      <c r="J393" s="216">
        <f t="shared" si="247"/>
        <v>0</v>
      </c>
      <c r="K393" s="216"/>
      <c r="L393" s="182">
        <f>L394+L404+L399</f>
        <v>1003343.25</v>
      </c>
    </row>
    <row r="394" spans="1:12" ht="72" outlineLevel="7">
      <c r="A394" s="196" t="s">
        <v>440</v>
      </c>
      <c r="B394" s="163" t="s">
        <v>504</v>
      </c>
      <c r="C394" s="197" t="s">
        <v>95</v>
      </c>
      <c r="D394" s="197" t="s">
        <v>129</v>
      </c>
      <c r="E394" s="198" t="s">
        <v>6</v>
      </c>
      <c r="F394" s="171">
        <f>F395</f>
        <v>200000</v>
      </c>
      <c r="G394" s="171">
        <f t="shared" ref="G394:I394" si="272">G395</f>
        <v>200000</v>
      </c>
      <c r="H394" s="171">
        <f t="shared" si="272"/>
        <v>150000</v>
      </c>
      <c r="I394" s="199">
        <f t="shared" si="272"/>
        <v>150000</v>
      </c>
      <c r="J394" s="216">
        <f t="shared" si="247"/>
        <v>0</v>
      </c>
      <c r="K394" s="216"/>
      <c r="L394" s="199">
        <f t="shared" ref="L394" si="273">L395</f>
        <v>150000</v>
      </c>
    </row>
    <row r="395" spans="1:12" ht="54" outlineLevel="7">
      <c r="A395" s="164" t="s">
        <v>372</v>
      </c>
      <c r="B395" s="163" t="s">
        <v>504</v>
      </c>
      <c r="C395" s="163" t="s">
        <v>95</v>
      </c>
      <c r="D395" s="163" t="s">
        <v>441</v>
      </c>
      <c r="E395" s="169" t="s">
        <v>6</v>
      </c>
      <c r="F395" s="167">
        <f>F396</f>
        <v>200000</v>
      </c>
      <c r="G395" s="167">
        <f>G396</f>
        <v>200000</v>
      </c>
      <c r="H395" s="167">
        <f>H396</f>
        <v>150000</v>
      </c>
      <c r="I395" s="182">
        <f>I396</f>
        <v>150000</v>
      </c>
      <c r="J395" s="216">
        <f t="shared" si="247"/>
        <v>0</v>
      </c>
      <c r="K395" s="216"/>
      <c r="L395" s="182">
        <f>L396</f>
        <v>150000</v>
      </c>
    </row>
    <row r="396" spans="1:12" ht="54" outlineLevel="7">
      <c r="A396" s="164" t="s">
        <v>99</v>
      </c>
      <c r="B396" s="163" t="s">
        <v>504</v>
      </c>
      <c r="C396" s="163" t="s">
        <v>95</v>
      </c>
      <c r="D396" s="163" t="s">
        <v>416</v>
      </c>
      <c r="E396" s="169" t="s">
        <v>6</v>
      </c>
      <c r="F396" s="167">
        <f>F397</f>
        <v>200000</v>
      </c>
      <c r="G396" s="167">
        <f t="shared" ref="G396:I397" si="274">G397</f>
        <v>200000</v>
      </c>
      <c r="H396" s="167">
        <f t="shared" si="274"/>
        <v>150000</v>
      </c>
      <c r="I396" s="182">
        <f t="shared" si="274"/>
        <v>150000</v>
      </c>
      <c r="J396" s="216">
        <f t="shared" si="247"/>
        <v>0</v>
      </c>
      <c r="K396" s="216"/>
      <c r="L396" s="182">
        <f t="shared" ref="L396:L397" si="275">L397</f>
        <v>150000</v>
      </c>
    </row>
    <row r="397" spans="1:12" ht="36" outlineLevel="7">
      <c r="A397" s="164" t="s">
        <v>90</v>
      </c>
      <c r="B397" s="163" t="s">
        <v>504</v>
      </c>
      <c r="C397" s="163" t="s">
        <v>95</v>
      </c>
      <c r="D397" s="163" t="s">
        <v>416</v>
      </c>
      <c r="E397" s="169" t="s">
        <v>91</v>
      </c>
      <c r="F397" s="167">
        <f>F398</f>
        <v>200000</v>
      </c>
      <c r="G397" s="167">
        <f t="shared" si="274"/>
        <v>200000</v>
      </c>
      <c r="H397" s="167">
        <f t="shared" si="274"/>
        <v>150000</v>
      </c>
      <c r="I397" s="182">
        <f t="shared" si="274"/>
        <v>150000</v>
      </c>
      <c r="J397" s="216">
        <f t="shared" si="247"/>
        <v>0</v>
      </c>
      <c r="K397" s="216"/>
      <c r="L397" s="182">
        <f t="shared" si="275"/>
        <v>150000</v>
      </c>
    </row>
    <row r="398" spans="1:12" ht="54" outlineLevel="7">
      <c r="A398" s="164" t="s">
        <v>97</v>
      </c>
      <c r="B398" s="163" t="s">
        <v>504</v>
      </c>
      <c r="C398" s="163" t="s">
        <v>95</v>
      </c>
      <c r="D398" s="163" t="s">
        <v>416</v>
      </c>
      <c r="E398" s="169" t="s">
        <v>98</v>
      </c>
      <c r="F398" s="167">
        <v>200000</v>
      </c>
      <c r="G398" s="167">
        <v>200000</v>
      </c>
      <c r="H398" s="218">
        <v>150000</v>
      </c>
      <c r="I398" s="204">
        <v>150000</v>
      </c>
      <c r="J398" s="216">
        <f t="shared" si="247"/>
        <v>0</v>
      </c>
      <c r="K398" s="216"/>
      <c r="L398" s="204">
        <v>150000</v>
      </c>
    </row>
    <row r="399" spans="1:12" ht="72" outlineLevel="7">
      <c r="A399" s="196" t="s">
        <v>373</v>
      </c>
      <c r="B399" s="163" t="s">
        <v>504</v>
      </c>
      <c r="C399" s="197" t="s">
        <v>95</v>
      </c>
      <c r="D399" s="197" t="s">
        <v>374</v>
      </c>
      <c r="E399" s="198" t="s">
        <v>6</v>
      </c>
      <c r="F399" s="209">
        <f>F400</f>
        <v>558600</v>
      </c>
      <c r="G399" s="209">
        <f t="shared" ref="G399:I399" si="276">G400</f>
        <v>763383.02999999991</v>
      </c>
      <c r="H399" s="209">
        <f t="shared" si="276"/>
        <v>753343.25</v>
      </c>
      <c r="I399" s="202">
        <f t="shared" si="276"/>
        <v>753343.25</v>
      </c>
      <c r="J399" s="216">
        <f t="shared" si="247"/>
        <v>0</v>
      </c>
      <c r="K399" s="216"/>
      <c r="L399" s="202">
        <f t="shared" ref="L399:L402" si="277">L400</f>
        <v>753343.25</v>
      </c>
    </row>
    <row r="400" spans="1:12" ht="72" outlineLevel="2">
      <c r="A400" s="164" t="s">
        <v>394</v>
      </c>
      <c r="B400" s="163" t="s">
        <v>504</v>
      </c>
      <c r="C400" s="163" t="s">
        <v>95</v>
      </c>
      <c r="D400" s="163" t="s">
        <v>375</v>
      </c>
      <c r="E400" s="169" t="s">
        <v>6</v>
      </c>
      <c r="F400" s="184">
        <f>F401</f>
        <v>558600</v>
      </c>
      <c r="G400" s="184">
        <f t="shared" ref="G400:I401" si="278">G401</f>
        <v>763383.02999999991</v>
      </c>
      <c r="H400" s="184">
        <f t="shared" si="278"/>
        <v>753343.25</v>
      </c>
      <c r="I400" s="195">
        <f t="shared" si="278"/>
        <v>753343.25</v>
      </c>
      <c r="J400" s="216">
        <f t="shared" si="247"/>
        <v>0</v>
      </c>
      <c r="K400" s="216"/>
      <c r="L400" s="195">
        <f t="shared" si="277"/>
        <v>753343.25</v>
      </c>
    </row>
    <row r="401" spans="1:12" ht="54" outlineLevel="3">
      <c r="A401" s="164" t="s">
        <v>96</v>
      </c>
      <c r="B401" s="163" t="s">
        <v>504</v>
      </c>
      <c r="C401" s="163" t="s">
        <v>95</v>
      </c>
      <c r="D401" s="163" t="s">
        <v>376</v>
      </c>
      <c r="E401" s="169" t="s">
        <v>6</v>
      </c>
      <c r="F401" s="167">
        <f>F402</f>
        <v>558600</v>
      </c>
      <c r="G401" s="167">
        <f t="shared" si="278"/>
        <v>763383.02999999991</v>
      </c>
      <c r="H401" s="167">
        <f t="shared" si="278"/>
        <v>753343.25</v>
      </c>
      <c r="I401" s="182">
        <f t="shared" si="278"/>
        <v>753343.25</v>
      </c>
      <c r="J401" s="216">
        <f t="shared" si="247"/>
        <v>0</v>
      </c>
      <c r="K401" s="216"/>
      <c r="L401" s="182">
        <f t="shared" si="277"/>
        <v>753343.25</v>
      </c>
    </row>
    <row r="402" spans="1:12" ht="36" outlineLevel="4">
      <c r="A402" s="164" t="s">
        <v>90</v>
      </c>
      <c r="B402" s="163" t="s">
        <v>504</v>
      </c>
      <c r="C402" s="163" t="s">
        <v>95</v>
      </c>
      <c r="D402" s="163" t="s">
        <v>442</v>
      </c>
      <c r="E402" s="169" t="s">
        <v>91</v>
      </c>
      <c r="F402" s="184">
        <f>F403</f>
        <v>558600</v>
      </c>
      <c r="G402" s="184">
        <f t="shared" ref="G402:I402" si="279">G403</f>
        <v>763383.02999999991</v>
      </c>
      <c r="H402" s="184">
        <f t="shared" si="279"/>
        <v>753343.25</v>
      </c>
      <c r="I402" s="195">
        <f t="shared" si="279"/>
        <v>753343.25</v>
      </c>
      <c r="J402" s="216">
        <f t="shared" si="247"/>
        <v>0</v>
      </c>
      <c r="K402" s="216"/>
      <c r="L402" s="195">
        <f t="shared" si="277"/>
        <v>753343.25</v>
      </c>
    </row>
    <row r="403" spans="1:12" ht="54" outlineLevel="5">
      <c r="A403" s="164" t="s">
        <v>97</v>
      </c>
      <c r="B403" s="163" t="s">
        <v>504</v>
      </c>
      <c r="C403" s="163" t="s">
        <v>95</v>
      </c>
      <c r="D403" s="163" t="s">
        <v>442</v>
      </c>
      <c r="E403" s="169" t="s">
        <v>98</v>
      </c>
      <c r="F403" s="167">
        <v>558600</v>
      </c>
      <c r="G403" s="167">
        <f>750536.94+12846.09</f>
        <v>763383.02999999991</v>
      </c>
      <c r="H403" s="167">
        <f>579843.25+173500</f>
        <v>753343.25</v>
      </c>
      <c r="I403" s="182">
        <v>753343.25</v>
      </c>
      <c r="J403" s="216">
        <f t="shared" si="247"/>
        <v>0</v>
      </c>
      <c r="K403" s="216"/>
      <c r="L403" s="182">
        <v>753343.25</v>
      </c>
    </row>
    <row r="404" spans="1:12" ht="54" outlineLevel="6">
      <c r="A404" s="196" t="s">
        <v>132</v>
      </c>
      <c r="B404" s="197" t="s">
        <v>504</v>
      </c>
      <c r="C404" s="197" t="s">
        <v>95</v>
      </c>
      <c r="D404" s="197" t="s">
        <v>127</v>
      </c>
      <c r="E404" s="198" t="s">
        <v>6</v>
      </c>
      <c r="F404" s="184">
        <f>F405</f>
        <v>100000</v>
      </c>
      <c r="G404" s="209">
        <f t="shared" ref="G404:I406" si="280">G405</f>
        <v>31000</v>
      </c>
      <c r="H404" s="209">
        <f t="shared" si="280"/>
        <v>100000</v>
      </c>
      <c r="I404" s="202">
        <f t="shared" si="280"/>
        <v>100000</v>
      </c>
      <c r="J404" s="216">
        <f t="shared" si="247"/>
        <v>0</v>
      </c>
      <c r="K404" s="216"/>
      <c r="L404" s="202">
        <f t="shared" ref="L404:L406" si="281">L405</f>
        <v>100000</v>
      </c>
    </row>
    <row r="405" spans="1:12" ht="18.75" customHeight="1" outlineLevel="7">
      <c r="A405" s="164" t="s">
        <v>530</v>
      </c>
      <c r="B405" s="163" t="s">
        <v>504</v>
      </c>
      <c r="C405" s="163" t="s">
        <v>95</v>
      </c>
      <c r="D405" s="163" t="s">
        <v>543</v>
      </c>
      <c r="E405" s="169" t="s">
        <v>6</v>
      </c>
      <c r="F405" s="184">
        <f>F406</f>
        <v>100000</v>
      </c>
      <c r="G405" s="184">
        <f t="shared" si="280"/>
        <v>31000</v>
      </c>
      <c r="H405" s="184">
        <f t="shared" si="280"/>
        <v>100000</v>
      </c>
      <c r="I405" s="195">
        <f t="shared" si="280"/>
        <v>100000</v>
      </c>
      <c r="J405" s="216">
        <f t="shared" si="247"/>
        <v>0</v>
      </c>
      <c r="K405" s="216"/>
      <c r="L405" s="195">
        <f t="shared" si="281"/>
        <v>100000</v>
      </c>
    </row>
    <row r="406" spans="1:12" ht="36" outlineLevel="5">
      <c r="A406" s="164" t="s">
        <v>90</v>
      </c>
      <c r="B406" s="163" t="s">
        <v>504</v>
      </c>
      <c r="C406" s="163" t="s">
        <v>95</v>
      </c>
      <c r="D406" s="163" t="s">
        <v>543</v>
      </c>
      <c r="E406" s="169" t="s">
        <v>91</v>
      </c>
      <c r="F406" s="184">
        <f>F407</f>
        <v>100000</v>
      </c>
      <c r="G406" s="184">
        <f t="shared" si="280"/>
        <v>31000</v>
      </c>
      <c r="H406" s="184">
        <f t="shared" si="280"/>
        <v>100000</v>
      </c>
      <c r="I406" s="195">
        <f t="shared" si="280"/>
        <v>100000</v>
      </c>
      <c r="J406" s="216">
        <f t="shared" si="247"/>
        <v>0</v>
      </c>
      <c r="K406" s="216"/>
      <c r="L406" s="195">
        <f t="shared" si="281"/>
        <v>100000</v>
      </c>
    </row>
    <row r="407" spans="1:12" outlineLevel="5">
      <c r="A407" s="164" t="s">
        <v>309</v>
      </c>
      <c r="B407" s="163" t="s">
        <v>504</v>
      </c>
      <c r="C407" s="163" t="s">
        <v>95</v>
      </c>
      <c r="D407" s="163" t="s">
        <v>543</v>
      </c>
      <c r="E407" s="169" t="s">
        <v>310</v>
      </c>
      <c r="F407" s="167">
        <v>100000</v>
      </c>
      <c r="G407" s="167">
        <v>31000</v>
      </c>
      <c r="H407" s="167">
        <v>100000</v>
      </c>
      <c r="I407" s="182">
        <v>100000</v>
      </c>
      <c r="J407" s="216">
        <f t="shared" si="247"/>
        <v>0</v>
      </c>
      <c r="K407" s="216"/>
      <c r="L407" s="182">
        <v>100000</v>
      </c>
    </row>
    <row r="408" spans="1:12" outlineLevel="5">
      <c r="A408" s="164" t="s">
        <v>123</v>
      </c>
      <c r="B408" s="163" t="s">
        <v>504</v>
      </c>
      <c r="C408" s="163" t="s">
        <v>124</v>
      </c>
      <c r="D408" s="163" t="s">
        <v>126</v>
      </c>
      <c r="E408" s="169" t="s">
        <v>6</v>
      </c>
      <c r="F408" s="184">
        <f>F409</f>
        <v>33819666.280000001</v>
      </c>
      <c r="G408" s="184">
        <f t="shared" ref="G408:I409" si="282">G409</f>
        <v>15728580.709999999</v>
      </c>
      <c r="H408" s="184">
        <f t="shared" si="282"/>
        <v>35934200.039999999</v>
      </c>
      <c r="I408" s="195">
        <f t="shared" si="282"/>
        <v>35934200.039999999</v>
      </c>
      <c r="J408" s="216">
        <f t="shared" si="247"/>
        <v>0</v>
      </c>
      <c r="K408" s="216"/>
      <c r="L408" s="195">
        <f t="shared" ref="L408:L409" si="283">L409</f>
        <v>35934200.039999999</v>
      </c>
    </row>
    <row r="409" spans="1:12" ht="54" outlineLevel="5">
      <c r="A409" s="196" t="s">
        <v>132</v>
      </c>
      <c r="B409" s="197" t="s">
        <v>504</v>
      </c>
      <c r="C409" s="197" t="s">
        <v>124</v>
      </c>
      <c r="D409" s="197" t="s">
        <v>127</v>
      </c>
      <c r="E409" s="198" t="s">
        <v>6</v>
      </c>
      <c r="F409" s="184">
        <f>F410</f>
        <v>33819666.280000001</v>
      </c>
      <c r="G409" s="209">
        <f t="shared" si="282"/>
        <v>15728580.709999999</v>
      </c>
      <c r="H409" s="209">
        <f t="shared" si="282"/>
        <v>35934200.039999999</v>
      </c>
      <c r="I409" s="202">
        <f t="shared" si="282"/>
        <v>35934200.039999999</v>
      </c>
      <c r="J409" s="216">
        <f t="shared" si="247"/>
        <v>0</v>
      </c>
      <c r="K409" s="216"/>
      <c r="L409" s="202">
        <f t="shared" si="283"/>
        <v>35934200.039999999</v>
      </c>
    </row>
    <row r="410" spans="1:12" ht="36" outlineLevel="5">
      <c r="A410" s="164" t="s">
        <v>277</v>
      </c>
      <c r="B410" s="163" t="s">
        <v>504</v>
      </c>
      <c r="C410" s="163" t="s">
        <v>124</v>
      </c>
      <c r="D410" s="163" t="s">
        <v>276</v>
      </c>
      <c r="E410" s="169" t="s">
        <v>6</v>
      </c>
      <c r="F410" s="184">
        <f>F423+F411+F414+F420</f>
        <v>33819666.280000001</v>
      </c>
      <c r="G410" s="184">
        <f t="shared" ref="G410" si="284">G423+G411+G414+G420</f>
        <v>15728580.709999999</v>
      </c>
      <c r="H410" s="184">
        <f>H423+H411+H414+H420</f>
        <v>35934200.039999999</v>
      </c>
      <c r="I410" s="184">
        <f>I423+I411+I414+I420</f>
        <v>35934200.039999999</v>
      </c>
      <c r="J410" s="216">
        <f t="shared" si="247"/>
        <v>0</v>
      </c>
      <c r="K410" s="216"/>
      <c r="L410" s="184">
        <f>L423+L411+L414+L420</f>
        <v>35934200.039999999</v>
      </c>
    </row>
    <row r="411" spans="1:12" ht="108" outlineLevel="5">
      <c r="A411" s="164" t="s">
        <v>429</v>
      </c>
      <c r="B411" s="163" t="s">
        <v>504</v>
      </c>
      <c r="C411" s="163" t="s">
        <v>124</v>
      </c>
      <c r="D411" s="163" t="s">
        <v>430</v>
      </c>
      <c r="E411" s="169" t="s">
        <v>6</v>
      </c>
      <c r="F411" s="167">
        <f>F412</f>
        <v>1021243.89</v>
      </c>
      <c r="G411" s="167">
        <f t="shared" ref="G411:I412" si="285">G412</f>
        <v>1077196.26</v>
      </c>
      <c r="H411" s="167">
        <f t="shared" si="285"/>
        <v>1035455.64</v>
      </c>
      <c r="I411" s="182">
        <f t="shared" si="285"/>
        <v>1035455.64</v>
      </c>
      <c r="J411" s="216">
        <f t="shared" si="247"/>
        <v>0</v>
      </c>
      <c r="K411" s="216"/>
      <c r="L411" s="182">
        <f t="shared" ref="L411:L412" si="286">L412</f>
        <v>1035455.64</v>
      </c>
    </row>
    <row r="412" spans="1:12" ht="36" outlineLevel="5">
      <c r="A412" s="164" t="s">
        <v>90</v>
      </c>
      <c r="B412" s="163" t="s">
        <v>504</v>
      </c>
      <c r="C412" s="163" t="s">
        <v>124</v>
      </c>
      <c r="D412" s="163" t="s">
        <v>430</v>
      </c>
      <c r="E412" s="169" t="s">
        <v>91</v>
      </c>
      <c r="F412" s="167">
        <f>F413</f>
        <v>1021243.89</v>
      </c>
      <c r="G412" s="167">
        <f t="shared" si="285"/>
        <v>1077196.26</v>
      </c>
      <c r="H412" s="167">
        <f t="shared" si="285"/>
        <v>1035455.64</v>
      </c>
      <c r="I412" s="182">
        <f t="shared" si="285"/>
        <v>1035455.64</v>
      </c>
      <c r="J412" s="216">
        <f t="shared" si="247"/>
        <v>0</v>
      </c>
      <c r="K412" s="216"/>
      <c r="L412" s="182">
        <f t="shared" si="286"/>
        <v>1035455.64</v>
      </c>
    </row>
    <row r="413" spans="1:12" ht="36" outlineLevel="5">
      <c r="A413" s="164" t="s">
        <v>92</v>
      </c>
      <c r="B413" s="163" t="s">
        <v>504</v>
      </c>
      <c r="C413" s="163" t="s">
        <v>124</v>
      </c>
      <c r="D413" s="163" t="s">
        <v>430</v>
      </c>
      <c r="E413" s="169" t="s">
        <v>93</v>
      </c>
      <c r="F413" s="167">
        <v>1021243.89</v>
      </c>
      <c r="G413" s="167">
        <v>1077196.26</v>
      </c>
      <c r="H413" s="167">
        <v>1035455.64</v>
      </c>
      <c r="I413" s="182">
        <v>1035455.64</v>
      </c>
      <c r="J413" s="216">
        <f t="shared" si="247"/>
        <v>0</v>
      </c>
      <c r="K413" s="216"/>
      <c r="L413" s="182">
        <v>1035455.64</v>
      </c>
    </row>
    <row r="414" spans="1:12" ht="76.650000000000006" customHeight="1" outlineLevel="5">
      <c r="A414" s="187" t="s">
        <v>431</v>
      </c>
      <c r="B414" s="163" t="s">
        <v>504</v>
      </c>
      <c r="C414" s="163" t="s">
        <v>124</v>
      </c>
      <c r="D414" s="163" t="s">
        <v>432</v>
      </c>
      <c r="E414" s="169" t="s">
        <v>6</v>
      </c>
      <c r="F414" s="167">
        <f>F415+F417</f>
        <v>14290492.390000001</v>
      </c>
      <c r="G414" s="167">
        <f>G415+G417</f>
        <v>14651384.449999999</v>
      </c>
      <c r="H414" s="167">
        <f>H415+H417</f>
        <v>21927344.399999999</v>
      </c>
      <c r="I414" s="182">
        <f>I415+I417</f>
        <v>21927344.399999999</v>
      </c>
      <c r="J414" s="216">
        <f t="shared" si="247"/>
        <v>0</v>
      </c>
      <c r="K414" s="216"/>
      <c r="L414" s="182">
        <f>L415+L417</f>
        <v>21927344.399999999</v>
      </c>
    </row>
    <row r="415" spans="1:12" ht="18.75" customHeight="1" outlineLevel="5">
      <c r="A415" s="164" t="s">
        <v>15</v>
      </c>
      <c r="B415" s="163" t="s">
        <v>504</v>
      </c>
      <c r="C415" s="163" t="s">
        <v>124</v>
      </c>
      <c r="D415" s="163" t="s">
        <v>432</v>
      </c>
      <c r="E415" s="169" t="s">
        <v>16</v>
      </c>
      <c r="F415" s="167">
        <f>F416</f>
        <v>130000</v>
      </c>
      <c r="G415" s="167">
        <f>G416</f>
        <v>130000</v>
      </c>
      <c r="H415" s="167">
        <f>H416</f>
        <v>130000</v>
      </c>
      <c r="I415" s="182">
        <f>I416</f>
        <v>130000</v>
      </c>
      <c r="J415" s="216">
        <f t="shared" ref="J415:J487" si="287">I415-H415</f>
        <v>0</v>
      </c>
      <c r="K415" s="216"/>
      <c r="L415" s="182">
        <f>L416</f>
        <v>130000</v>
      </c>
    </row>
    <row r="416" spans="1:12" ht="54" outlineLevel="5">
      <c r="A416" s="164" t="s">
        <v>17</v>
      </c>
      <c r="B416" s="163" t="s">
        <v>504</v>
      </c>
      <c r="C416" s="163" t="s">
        <v>124</v>
      </c>
      <c r="D416" s="163" t="s">
        <v>432</v>
      </c>
      <c r="E416" s="169" t="s">
        <v>18</v>
      </c>
      <c r="F416" s="167">
        <v>130000</v>
      </c>
      <c r="G416" s="167">
        <v>130000</v>
      </c>
      <c r="H416" s="167">
        <v>130000</v>
      </c>
      <c r="I416" s="182">
        <v>130000</v>
      </c>
      <c r="J416" s="216">
        <f t="shared" si="287"/>
        <v>0</v>
      </c>
      <c r="K416" s="216"/>
      <c r="L416" s="182">
        <v>130000</v>
      </c>
    </row>
    <row r="417" spans="1:12" ht="36" outlineLevel="5">
      <c r="A417" s="164" t="s">
        <v>90</v>
      </c>
      <c r="B417" s="163" t="s">
        <v>504</v>
      </c>
      <c r="C417" s="163" t="s">
        <v>124</v>
      </c>
      <c r="D417" s="163" t="s">
        <v>432</v>
      </c>
      <c r="E417" s="169" t="s">
        <v>91</v>
      </c>
      <c r="F417" s="167">
        <f>F418+F419</f>
        <v>14160492.390000001</v>
      </c>
      <c r="G417" s="167">
        <f>G418+G419</f>
        <v>14521384.449999999</v>
      </c>
      <c r="H417" s="167">
        <f>H418+H419</f>
        <v>21797344.399999999</v>
      </c>
      <c r="I417" s="182">
        <f>I418+I419</f>
        <v>21797344.399999999</v>
      </c>
      <c r="J417" s="216">
        <f t="shared" si="287"/>
        <v>0</v>
      </c>
      <c r="K417" s="216"/>
      <c r="L417" s="182">
        <f>L418+L419</f>
        <v>21797344.399999999</v>
      </c>
    </row>
    <row r="418" spans="1:12" ht="36" outlineLevel="5">
      <c r="A418" s="164" t="s">
        <v>92</v>
      </c>
      <c r="B418" s="163" t="s">
        <v>504</v>
      </c>
      <c r="C418" s="163" t="s">
        <v>124</v>
      </c>
      <c r="D418" s="163" t="s">
        <v>432</v>
      </c>
      <c r="E418" s="169" t="s">
        <v>93</v>
      </c>
      <c r="F418" s="167">
        <v>12360492.390000001</v>
      </c>
      <c r="G418" s="167">
        <v>12721384.449999999</v>
      </c>
      <c r="H418" s="167">
        <v>19797344.399999999</v>
      </c>
      <c r="I418" s="182">
        <v>19797344.399999999</v>
      </c>
      <c r="J418" s="216">
        <f t="shared" si="287"/>
        <v>0</v>
      </c>
      <c r="K418" s="216"/>
      <c r="L418" s="182">
        <v>19797344.399999999</v>
      </c>
    </row>
    <row r="419" spans="1:12" ht="35.4" customHeight="1" outlineLevel="5">
      <c r="A419" s="164" t="s">
        <v>97</v>
      </c>
      <c r="B419" s="163" t="s">
        <v>504</v>
      </c>
      <c r="C419" s="163" t="s">
        <v>124</v>
      </c>
      <c r="D419" s="163" t="s">
        <v>432</v>
      </c>
      <c r="E419" s="169" t="s">
        <v>98</v>
      </c>
      <c r="F419" s="167">
        <v>1800000</v>
      </c>
      <c r="G419" s="167">
        <v>1800000</v>
      </c>
      <c r="H419" s="167">
        <v>2000000</v>
      </c>
      <c r="I419" s="182">
        <v>2000000</v>
      </c>
      <c r="J419" s="216">
        <f t="shared" si="287"/>
        <v>0</v>
      </c>
      <c r="K419" s="216"/>
      <c r="L419" s="182">
        <v>2000000</v>
      </c>
    </row>
    <row r="420" spans="1:12" ht="120.75" customHeight="1" outlineLevel="5">
      <c r="A420" s="187" t="s">
        <v>775</v>
      </c>
      <c r="B420" s="163" t="s">
        <v>504</v>
      </c>
      <c r="C420" s="163" t="s">
        <v>124</v>
      </c>
      <c r="D420" s="163" t="s">
        <v>295</v>
      </c>
      <c r="E420" s="169" t="s">
        <v>6</v>
      </c>
      <c r="F420" s="167">
        <f>F421</f>
        <v>0</v>
      </c>
      <c r="G420" s="167">
        <f t="shared" ref="G420:I421" si="288">G421</f>
        <v>0</v>
      </c>
      <c r="H420" s="167">
        <f t="shared" si="288"/>
        <v>0</v>
      </c>
      <c r="I420" s="167">
        <f t="shared" si="288"/>
        <v>0</v>
      </c>
      <c r="J420" s="216">
        <f t="shared" si="287"/>
        <v>0</v>
      </c>
      <c r="K420" s="216"/>
      <c r="L420" s="167">
        <f t="shared" ref="L420:L421" si="289">L421</f>
        <v>0</v>
      </c>
    </row>
    <row r="421" spans="1:12" ht="54" outlineLevel="5">
      <c r="A421" s="164" t="s">
        <v>264</v>
      </c>
      <c r="B421" s="163" t="s">
        <v>504</v>
      </c>
      <c r="C421" s="163" t="s">
        <v>124</v>
      </c>
      <c r="D421" s="163" t="s">
        <v>295</v>
      </c>
      <c r="E421" s="169" t="s">
        <v>265</v>
      </c>
      <c r="F421" s="167">
        <f>F422</f>
        <v>0</v>
      </c>
      <c r="G421" s="167">
        <f t="shared" si="288"/>
        <v>0</v>
      </c>
      <c r="H421" s="167">
        <f t="shared" si="288"/>
        <v>0</v>
      </c>
      <c r="I421" s="167">
        <f t="shared" si="288"/>
        <v>0</v>
      </c>
      <c r="J421" s="216">
        <f t="shared" si="287"/>
        <v>0</v>
      </c>
      <c r="K421" s="216"/>
      <c r="L421" s="167">
        <f t="shared" si="289"/>
        <v>0</v>
      </c>
    </row>
    <row r="422" spans="1:12" outlineLevel="5">
      <c r="A422" s="164" t="s">
        <v>266</v>
      </c>
      <c r="B422" s="163" t="s">
        <v>504</v>
      </c>
      <c r="C422" s="163" t="s">
        <v>124</v>
      </c>
      <c r="D422" s="163" t="s">
        <v>295</v>
      </c>
      <c r="E422" s="169" t="s">
        <v>267</v>
      </c>
      <c r="F422" s="167">
        <v>0</v>
      </c>
      <c r="G422" s="167">
        <v>0</v>
      </c>
      <c r="H422" s="167">
        <v>0</v>
      </c>
      <c r="I422" s="182">
        <v>0</v>
      </c>
      <c r="J422" s="216">
        <f t="shared" si="287"/>
        <v>0</v>
      </c>
      <c r="K422" s="216"/>
      <c r="L422" s="182">
        <v>0</v>
      </c>
    </row>
    <row r="423" spans="1:12" ht="120.15" customHeight="1" outlineLevel="5">
      <c r="A423" s="187" t="s">
        <v>667</v>
      </c>
      <c r="B423" s="163" t="s">
        <v>504</v>
      </c>
      <c r="C423" s="163" t="s">
        <v>124</v>
      </c>
      <c r="D423" s="163" t="s">
        <v>295</v>
      </c>
      <c r="E423" s="169" t="s">
        <v>6</v>
      </c>
      <c r="F423" s="184">
        <f>F424</f>
        <v>18507930</v>
      </c>
      <c r="G423" s="184">
        <f t="shared" ref="G423:I423" si="290">G424</f>
        <v>0</v>
      </c>
      <c r="H423" s="184">
        <f t="shared" si="290"/>
        <v>12971400</v>
      </c>
      <c r="I423" s="184">
        <f t="shared" si="290"/>
        <v>12971400</v>
      </c>
      <c r="J423" s="216">
        <f t="shared" si="287"/>
        <v>0</v>
      </c>
      <c r="K423" s="216"/>
      <c r="L423" s="184">
        <f t="shared" ref="L423:L424" si="291">L424</f>
        <v>12971400</v>
      </c>
    </row>
    <row r="424" spans="1:12" ht="54" outlineLevel="5">
      <c r="A424" s="164" t="s">
        <v>264</v>
      </c>
      <c r="B424" s="163" t="s">
        <v>504</v>
      </c>
      <c r="C424" s="163" t="s">
        <v>124</v>
      </c>
      <c r="D424" s="163" t="s">
        <v>295</v>
      </c>
      <c r="E424" s="169" t="s">
        <v>265</v>
      </c>
      <c r="F424" s="184">
        <f>F425</f>
        <v>18507930</v>
      </c>
      <c r="G424" s="184">
        <f t="shared" ref="G424:I424" si="292">G425</f>
        <v>0</v>
      </c>
      <c r="H424" s="184">
        <f t="shared" si="292"/>
        <v>12971400</v>
      </c>
      <c r="I424" s="195">
        <f t="shared" si="292"/>
        <v>12971400</v>
      </c>
      <c r="J424" s="216">
        <f t="shared" si="287"/>
        <v>0</v>
      </c>
      <c r="K424" s="216"/>
      <c r="L424" s="195">
        <f t="shared" si="291"/>
        <v>12971400</v>
      </c>
    </row>
    <row r="425" spans="1:12" outlineLevel="5">
      <c r="A425" s="164" t="s">
        <v>266</v>
      </c>
      <c r="B425" s="163" t="s">
        <v>504</v>
      </c>
      <c r="C425" s="163" t="s">
        <v>124</v>
      </c>
      <c r="D425" s="163" t="s">
        <v>295</v>
      </c>
      <c r="E425" s="169" t="s">
        <v>267</v>
      </c>
      <c r="F425" s="167">
        <v>18507930</v>
      </c>
      <c r="G425" s="167">
        <v>0</v>
      </c>
      <c r="H425" s="167">
        <v>12971400</v>
      </c>
      <c r="I425" s="182">
        <v>12971400</v>
      </c>
      <c r="J425" s="216">
        <f t="shared" si="287"/>
        <v>0</v>
      </c>
      <c r="K425" s="216"/>
      <c r="L425" s="182">
        <v>12971400</v>
      </c>
    </row>
    <row r="426" spans="1:12" outlineLevel="5">
      <c r="A426" s="196" t="s">
        <v>100</v>
      </c>
      <c r="B426" s="197" t="s">
        <v>504</v>
      </c>
      <c r="C426" s="197" t="s">
        <v>101</v>
      </c>
      <c r="D426" s="197" t="s">
        <v>126</v>
      </c>
      <c r="E426" s="198" t="s">
        <v>6</v>
      </c>
      <c r="F426" s="209">
        <f>F427</f>
        <v>924454.33</v>
      </c>
      <c r="G426" s="209">
        <f t="shared" ref="G426:I426" si="293">G427</f>
        <v>1838310</v>
      </c>
      <c r="H426" s="209">
        <f t="shared" si="293"/>
        <v>2563559</v>
      </c>
      <c r="I426" s="202">
        <f t="shared" si="293"/>
        <v>2763559</v>
      </c>
      <c r="J426" s="216">
        <f t="shared" si="287"/>
        <v>200000</v>
      </c>
      <c r="K426" s="216"/>
      <c r="L426" s="202">
        <f t="shared" ref="L426" si="294">L427</f>
        <v>2763559</v>
      </c>
    </row>
    <row r="427" spans="1:12" outlineLevel="5">
      <c r="A427" s="164" t="s">
        <v>301</v>
      </c>
      <c r="B427" s="163" t="s">
        <v>504</v>
      </c>
      <c r="C427" s="163" t="s">
        <v>300</v>
      </c>
      <c r="D427" s="163" t="s">
        <v>126</v>
      </c>
      <c r="E427" s="169" t="s">
        <v>6</v>
      </c>
      <c r="F427" s="184">
        <f>F428+F445</f>
        <v>924454.33</v>
      </c>
      <c r="G427" s="184">
        <f>G428+G445</f>
        <v>1838310</v>
      </c>
      <c r="H427" s="184">
        <f>H428+H445</f>
        <v>2563559</v>
      </c>
      <c r="I427" s="195">
        <f>I428+I445</f>
        <v>2763559</v>
      </c>
      <c r="J427" s="216">
        <f t="shared" si="287"/>
        <v>200000</v>
      </c>
      <c r="K427" s="216"/>
      <c r="L427" s="195">
        <f>L428+L445</f>
        <v>2763559</v>
      </c>
    </row>
    <row r="428" spans="1:12" ht="72" outlineLevel="5">
      <c r="A428" s="196" t="s">
        <v>377</v>
      </c>
      <c r="B428" s="197" t="s">
        <v>504</v>
      </c>
      <c r="C428" s="197" t="s">
        <v>300</v>
      </c>
      <c r="D428" s="197" t="s">
        <v>200</v>
      </c>
      <c r="E428" s="198" t="s">
        <v>6</v>
      </c>
      <c r="F428" s="209">
        <f>F435+F429</f>
        <v>874454.33</v>
      </c>
      <c r="G428" s="209">
        <f>G429+G435</f>
        <v>1788310</v>
      </c>
      <c r="H428" s="209">
        <f t="shared" ref="H428:I428" si="295">H429+H435</f>
        <v>2513559</v>
      </c>
      <c r="I428" s="202">
        <f t="shared" si="295"/>
        <v>2713559</v>
      </c>
      <c r="J428" s="216">
        <f t="shared" si="287"/>
        <v>200000</v>
      </c>
      <c r="K428" s="216"/>
      <c r="L428" s="202">
        <f t="shared" ref="L428" si="296">L429+L435</f>
        <v>2713559</v>
      </c>
    </row>
    <row r="429" spans="1:12" ht="54" outlineLevel="7">
      <c r="A429" s="164" t="s">
        <v>213</v>
      </c>
      <c r="B429" s="163" t="s">
        <v>504</v>
      </c>
      <c r="C429" s="163" t="s">
        <v>300</v>
      </c>
      <c r="D429" s="163" t="s">
        <v>230</v>
      </c>
      <c r="E429" s="169" t="s">
        <v>6</v>
      </c>
      <c r="F429" s="184">
        <f>F430</f>
        <v>661000</v>
      </c>
      <c r="G429" s="184">
        <f t="shared" ref="G429:I429" si="297">G430</f>
        <v>661000</v>
      </c>
      <c r="H429" s="184">
        <f t="shared" si="297"/>
        <v>661000</v>
      </c>
      <c r="I429" s="195">
        <f t="shared" si="297"/>
        <v>861000</v>
      </c>
      <c r="J429" s="216">
        <f t="shared" si="287"/>
        <v>200000</v>
      </c>
      <c r="K429" s="216"/>
      <c r="L429" s="195">
        <f t="shared" ref="L429" si="298">L430</f>
        <v>861000</v>
      </c>
    </row>
    <row r="430" spans="1:12" ht="36" outlineLevel="7">
      <c r="A430" s="164" t="s">
        <v>102</v>
      </c>
      <c r="B430" s="163" t="s">
        <v>504</v>
      </c>
      <c r="C430" s="163" t="s">
        <v>300</v>
      </c>
      <c r="D430" s="163" t="s">
        <v>201</v>
      </c>
      <c r="E430" s="169" t="s">
        <v>6</v>
      </c>
      <c r="F430" s="184">
        <f>F431+F433</f>
        <v>661000</v>
      </c>
      <c r="G430" s="184">
        <f t="shared" ref="G430:H430" si="299">G431+G433</f>
        <v>661000</v>
      </c>
      <c r="H430" s="184">
        <f t="shared" si="299"/>
        <v>661000</v>
      </c>
      <c r="I430" s="195">
        <f t="shared" ref="I430" si="300">I431+I433</f>
        <v>861000</v>
      </c>
      <c r="J430" s="216">
        <f t="shared" si="287"/>
        <v>200000</v>
      </c>
      <c r="K430" s="216"/>
      <c r="L430" s="195">
        <f t="shared" ref="L430" si="301">L431+L433</f>
        <v>861000</v>
      </c>
    </row>
    <row r="431" spans="1:12" ht="18.75" customHeight="1" outlineLevel="7">
      <c r="A431" s="164" t="s">
        <v>15</v>
      </c>
      <c r="B431" s="163" t="s">
        <v>504</v>
      </c>
      <c r="C431" s="163" t="s">
        <v>300</v>
      </c>
      <c r="D431" s="163" t="s">
        <v>201</v>
      </c>
      <c r="E431" s="169" t="s">
        <v>16</v>
      </c>
      <c r="F431" s="184">
        <f>F432</f>
        <v>631000</v>
      </c>
      <c r="G431" s="184">
        <f t="shared" ref="G431:I431" si="302">G432</f>
        <v>631000</v>
      </c>
      <c r="H431" s="184">
        <f t="shared" si="302"/>
        <v>631000</v>
      </c>
      <c r="I431" s="195">
        <f t="shared" si="302"/>
        <v>831000</v>
      </c>
      <c r="J431" s="216">
        <f t="shared" si="287"/>
        <v>200000</v>
      </c>
      <c r="K431" s="216"/>
      <c r="L431" s="195">
        <f t="shared" ref="L431" si="303">L432</f>
        <v>831000</v>
      </c>
    </row>
    <row r="432" spans="1:12" ht="54" outlineLevel="7">
      <c r="A432" s="164" t="s">
        <v>17</v>
      </c>
      <c r="B432" s="163" t="s">
        <v>504</v>
      </c>
      <c r="C432" s="163" t="s">
        <v>300</v>
      </c>
      <c r="D432" s="163" t="s">
        <v>201</v>
      </c>
      <c r="E432" s="169" t="s">
        <v>18</v>
      </c>
      <c r="F432" s="167">
        <v>631000</v>
      </c>
      <c r="G432" s="167">
        <v>631000</v>
      </c>
      <c r="H432" s="218">
        <f>631000</f>
        <v>631000</v>
      </c>
      <c r="I432" s="204">
        <f>631000+200000</f>
        <v>831000</v>
      </c>
      <c r="J432" s="216">
        <f t="shared" si="287"/>
        <v>200000</v>
      </c>
      <c r="K432" s="216"/>
      <c r="L432" s="204">
        <f>631000+200000</f>
        <v>831000</v>
      </c>
    </row>
    <row r="433" spans="1:12" ht="21.15" customHeight="1" outlineLevel="7">
      <c r="A433" s="164" t="s">
        <v>271</v>
      </c>
      <c r="B433" s="163" t="s">
        <v>504</v>
      </c>
      <c r="C433" s="163" t="s">
        <v>300</v>
      </c>
      <c r="D433" s="163" t="s">
        <v>201</v>
      </c>
      <c r="E433" s="169" t="s">
        <v>20</v>
      </c>
      <c r="F433" s="184">
        <f>F434</f>
        <v>30000</v>
      </c>
      <c r="G433" s="184">
        <f t="shared" ref="G433:I433" si="304">G434</f>
        <v>30000</v>
      </c>
      <c r="H433" s="184">
        <f t="shared" si="304"/>
        <v>30000</v>
      </c>
      <c r="I433" s="195">
        <f t="shared" si="304"/>
        <v>30000</v>
      </c>
      <c r="J433" s="216">
        <f t="shared" si="287"/>
        <v>0</v>
      </c>
      <c r="K433" s="216"/>
      <c r="L433" s="195">
        <f t="shared" ref="L433" si="305">L434</f>
        <v>30000</v>
      </c>
    </row>
    <row r="434" spans="1:12" ht="21.15" customHeight="1" outlineLevel="7">
      <c r="A434" s="164" t="s">
        <v>272</v>
      </c>
      <c r="B434" s="163" t="s">
        <v>504</v>
      </c>
      <c r="C434" s="163" t="s">
        <v>300</v>
      </c>
      <c r="D434" s="163" t="s">
        <v>201</v>
      </c>
      <c r="E434" s="169" t="s">
        <v>22</v>
      </c>
      <c r="F434" s="167">
        <v>30000</v>
      </c>
      <c r="G434" s="167">
        <v>30000</v>
      </c>
      <c r="H434" s="184">
        <v>30000</v>
      </c>
      <c r="I434" s="195">
        <v>30000</v>
      </c>
      <c r="J434" s="216">
        <f t="shared" si="287"/>
        <v>0</v>
      </c>
      <c r="K434" s="216"/>
      <c r="L434" s="195">
        <v>30000</v>
      </c>
    </row>
    <row r="435" spans="1:12" ht="21.15" customHeight="1" outlineLevel="7">
      <c r="A435" s="164" t="s">
        <v>378</v>
      </c>
      <c r="B435" s="163" t="s">
        <v>504</v>
      </c>
      <c r="C435" s="163" t="s">
        <v>300</v>
      </c>
      <c r="D435" s="163" t="s">
        <v>303</v>
      </c>
      <c r="E435" s="169" t="s">
        <v>6</v>
      </c>
      <c r="F435" s="184">
        <f>F436+F439+F442</f>
        <v>213454.33</v>
      </c>
      <c r="G435" s="184">
        <f t="shared" ref="G435:I435" si="306">G436+G439+G442</f>
        <v>1127310</v>
      </c>
      <c r="H435" s="184">
        <f t="shared" si="306"/>
        <v>1852559</v>
      </c>
      <c r="I435" s="184">
        <f t="shared" si="306"/>
        <v>1852559</v>
      </c>
      <c r="J435" s="216">
        <f t="shared" si="287"/>
        <v>0</v>
      </c>
      <c r="K435" s="216"/>
      <c r="L435" s="184">
        <f t="shared" ref="L435" si="307">L436+L439+L442</f>
        <v>1852559</v>
      </c>
    </row>
    <row r="436" spans="1:12" ht="21.15" customHeight="1" outlineLevel="7">
      <c r="A436" s="164" t="s">
        <v>281</v>
      </c>
      <c r="B436" s="163" t="s">
        <v>504</v>
      </c>
      <c r="C436" s="163" t="s">
        <v>300</v>
      </c>
      <c r="D436" s="163" t="s">
        <v>302</v>
      </c>
      <c r="E436" s="169" t="s">
        <v>6</v>
      </c>
      <c r="F436" s="184">
        <f>F437</f>
        <v>213454.33</v>
      </c>
      <c r="G436" s="167">
        <f t="shared" ref="G436:I437" si="308">G437</f>
        <v>1127310</v>
      </c>
      <c r="H436" s="167">
        <f t="shared" si="308"/>
        <v>1127310</v>
      </c>
      <c r="I436" s="182">
        <f t="shared" si="308"/>
        <v>1127310</v>
      </c>
      <c r="J436" s="216">
        <f t="shared" si="287"/>
        <v>0</v>
      </c>
      <c r="K436" s="216"/>
      <c r="L436" s="182">
        <f t="shared" ref="L436:L437" si="309">L437</f>
        <v>1127310</v>
      </c>
    </row>
    <row r="437" spans="1:12" ht="21.15" customHeight="1" outlineLevel="7">
      <c r="A437" s="164" t="s">
        <v>264</v>
      </c>
      <c r="B437" s="163" t="s">
        <v>504</v>
      </c>
      <c r="C437" s="163" t="s">
        <v>300</v>
      </c>
      <c r="D437" s="163" t="s">
        <v>302</v>
      </c>
      <c r="E437" s="169" t="s">
        <v>265</v>
      </c>
      <c r="F437" s="184">
        <f>F438</f>
        <v>213454.33</v>
      </c>
      <c r="G437" s="167">
        <f t="shared" si="308"/>
        <v>1127310</v>
      </c>
      <c r="H437" s="167">
        <f t="shared" si="308"/>
        <v>1127310</v>
      </c>
      <c r="I437" s="182">
        <f t="shared" si="308"/>
        <v>1127310</v>
      </c>
      <c r="J437" s="216">
        <f t="shared" si="287"/>
        <v>0</v>
      </c>
      <c r="K437" s="216"/>
      <c r="L437" s="182">
        <f t="shared" si="309"/>
        <v>1127310</v>
      </c>
    </row>
    <row r="438" spans="1:12" ht="21.15" customHeight="1" outlineLevel="7">
      <c r="A438" s="164" t="s">
        <v>266</v>
      </c>
      <c r="B438" s="163" t="s">
        <v>504</v>
      </c>
      <c r="C438" s="163" t="s">
        <v>300</v>
      </c>
      <c r="D438" s="163" t="s">
        <v>302</v>
      </c>
      <c r="E438" s="169" t="s">
        <v>267</v>
      </c>
      <c r="F438" s="167">
        <v>213454.33</v>
      </c>
      <c r="G438" s="167">
        <v>1127310</v>
      </c>
      <c r="H438" s="184">
        <v>1127310</v>
      </c>
      <c r="I438" s="195">
        <v>1127310</v>
      </c>
      <c r="J438" s="216">
        <f t="shared" si="287"/>
        <v>0</v>
      </c>
      <c r="K438" s="216"/>
      <c r="L438" s="195">
        <v>1127310</v>
      </c>
    </row>
    <row r="439" spans="1:12" ht="80.400000000000006" customHeight="1" outlineLevel="7">
      <c r="A439" s="164" t="s">
        <v>778</v>
      </c>
      <c r="B439" s="163" t="s">
        <v>504</v>
      </c>
      <c r="C439" s="163" t="s">
        <v>300</v>
      </c>
      <c r="D439" s="163" t="s">
        <v>779</v>
      </c>
      <c r="E439" s="169" t="s">
        <v>6</v>
      </c>
      <c r="F439" s="111">
        <f>F440</f>
        <v>0</v>
      </c>
      <c r="G439" s="111">
        <f t="shared" ref="G439:I440" si="310">G440</f>
        <v>0</v>
      </c>
      <c r="H439" s="111">
        <f t="shared" si="310"/>
        <v>703249</v>
      </c>
      <c r="I439" s="111">
        <f t="shared" si="310"/>
        <v>703249</v>
      </c>
      <c r="J439" s="216">
        <f t="shared" si="287"/>
        <v>0</v>
      </c>
      <c r="K439" s="216"/>
      <c r="L439" s="111">
        <f t="shared" ref="L439:L440" si="311">L440</f>
        <v>703249</v>
      </c>
    </row>
    <row r="440" spans="1:12" ht="21.15" customHeight="1" outlineLevel="7">
      <c r="A440" s="164" t="s">
        <v>37</v>
      </c>
      <c r="B440" s="163" t="s">
        <v>504</v>
      </c>
      <c r="C440" s="163" t="s">
        <v>300</v>
      </c>
      <c r="D440" s="163" t="s">
        <v>779</v>
      </c>
      <c r="E440" s="169" t="s">
        <v>38</v>
      </c>
      <c r="F440" s="111">
        <f>F441</f>
        <v>0</v>
      </c>
      <c r="G440" s="111">
        <f t="shared" si="310"/>
        <v>0</v>
      </c>
      <c r="H440" s="111">
        <f t="shared" si="310"/>
        <v>703249</v>
      </c>
      <c r="I440" s="111">
        <f t="shared" si="310"/>
        <v>703249</v>
      </c>
      <c r="J440" s="216">
        <f t="shared" si="287"/>
        <v>0</v>
      </c>
      <c r="K440" s="216"/>
      <c r="L440" s="111">
        <f t="shared" si="311"/>
        <v>703249</v>
      </c>
    </row>
    <row r="441" spans="1:12" ht="21.15" customHeight="1" outlineLevel="7">
      <c r="A441" s="164" t="s">
        <v>74</v>
      </c>
      <c r="B441" s="163" t="s">
        <v>504</v>
      </c>
      <c r="C441" s="163" t="s">
        <v>300</v>
      </c>
      <c r="D441" s="163" t="s">
        <v>779</v>
      </c>
      <c r="E441" s="169" t="s">
        <v>75</v>
      </c>
      <c r="F441" s="111">
        <v>0</v>
      </c>
      <c r="G441" s="184">
        <v>0</v>
      </c>
      <c r="H441" s="184">
        <v>703249</v>
      </c>
      <c r="I441" s="195">
        <v>703249</v>
      </c>
      <c r="J441" s="216">
        <f t="shared" si="287"/>
        <v>0</v>
      </c>
      <c r="K441" s="216"/>
      <c r="L441" s="195">
        <v>703249</v>
      </c>
    </row>
    <row r="442" spans="1:12" ht="80.400000000000006" customHeight="1" outlineLevel="7">
      <c r="A442" s="164" t="s">
        <v>791</v>
      </c>
      <c r="B442" s="163" t="s">
        <v>504</v>
      </c>
      <c r="C442" s="163" t="s">
        <v>300</v>
      </c>
      <c r="D442" s="163" t="s">
        <v>790</v>
      </c>
      <c r="E442" s="169" t="s">
        <v>6</v>
      </c>
      <c r="F442" s="111">
        <f>F443</f>
        <v>0</v>
      </c>
      <c r="G442" s="111">
        <f t="shared" ref="G442:I443" si="312">G443</f>
        <v>0</v>
      </c>
      <c r="H442" s="111">
        <f t="shared" si="312"/>
        <v>22000</v>
      </c>
      <c r="I442" s="111">
        <f t="shared" si="312"/>
        <v>22000</v>
      </c>
      <c r="J442" s="216">
        <f t="shared" si="287"/>
        <v>0</v>
      </c>
      <c r="K442" s="216"/>
      <c r="L442" s="111">
        <f t="shared" ref="L442:L443" si="313">L443</f>
        <v>22000</v>
      </c>
    </row>
    <row r="443" spans="1:12" ht="21.15" customHeight="1" outlineLevel="7">
      <c r="A443" s="164" t="s">
        <v>37</v>
      </c>
      <c r="B443" s="163" t="s">
        <v>504</v>
      </c>
      <c r="C443" s="163" t="s">
        <v>300</v>
      </c>
      <c r="D443" s="163" t="s">
        <v>790</v>
      </c>
      <c r="E443" s="169" t="s">
        <v>38</v>
      </c>
      <c r="F443" s="111">
        <f>F444</f>
        <v>0</v>
      </c>
      <c r="G443" s="111">
        <f t="shared" si="312"/>
        <v>0</v>
      </c>
      <c r="H443" s="111">
        <f t="shared" si="312"/>
        <v>22000</v>
      </c>
      <c r="I443" s="111">
        <f t="shared" si="312"/>
        <v>22000</v>
      </c>
      <c r="J443" s="216">
        <f t="shared" si="287"/>
        <v>0</v>
      </c>
      <c r="K443" s="216"/>
      <c r="L443" s="111">
        <f t="shared" si="313"/>
        <v>22000</v>
      </c>
    </row>
    <row r="444" spans="1:12" ht="21.15" customHeight="1" outlineLevel="7">
      <c r="A444" s="164" t="s">
        <v>74</v>
      </c>
      <c r="B444" s="163" t="s">
        <v>504</v>
      </c>
      <c r="C444" s="163" t="s">
        <v>300</v>
      </c>
      <c r="D444" s="163" t="s">
        <v>790</v>
      </c>
      <c r="E444" s="169" t="s">
        <v>75</v>
      </c>
      <c r="F444" s="111"/>
      <c r="G444" s="184"/>
      <c r="H444" s="184">
        <v>22000</v>
      </c>
      <c r="I444" s="195">
        <v>22000</v>
      </c>
      <c r="J444" s="216">
        <f t="shared" si="287"/>
        <v>0</v>
      </c>
      <c r="K444" s="216"/>
      <c r="L444" s="195">
        <v>22000</v>
      </c>
    </row>
    <row r="445" spans="1:12" ht="72" outlineLevel="7">
      <c r="A445" s="201" t="s">
        <v>463</v>
      </c>
      <c r="B445" s="197" t="s">
        <v>504</v>
      </c>
      <c r="C445" s="197" t="s">
        <v>300</v>
      </c>
      <c r="D445" s="197" t="s">
        <v>464</v>
      </c>
      <c r="E445" s="198" t="s">
        <v>6</v>
      </c>
      <c r="F445" s="167">
        <f>F446</f>
        <v>50000</v>
      </c>
      <c r="G445" s="167">
        <f t="shared" ref="G445:I448" si="314">G446</f>
        <v>50000</v>
      </c>
      <c r="H445" s="167">
        <f t="shared" si="314"/>
        <v>50000</v>
      </c>
      <c r="I445" s="182">
        <f t="shared" si="314"/>
        <v>50000</v>
      </c>
      <c r="J445" s="216">
        <f t="shared" si="287"/>
        <v>0</v>
      </c>
      <c r="K445" s="216"/>
      <c r="L445" s="182">
        <f t="shared" ref="L445:L448" si="315">L446</f>
        <v>50000</v>
      </c>
    </row>
    <row r="446" spans="1:12" ht="39.75" customHeight="1" outlineLevel="7">
      <c r="A446" s="200" t="s">
        <v>465</v>
      </c>
      <c r="B446" s="163" t="s">
        <v>504</v>
      </c>
      <c r="C446" s="163" t="s">
        <v>300</v>
      </c>
      <c r="D446" s="163" t="s">
        <v>466</v>
      </c>
      <c r="E446" s="169" t="s">
        <v>6</v>
      </c>
      <c r="F446" s="167">
        <f>F447</f>
        <v>50000</v>
      </c>
      <c r="G446" s="167">
        <f t="shared" si="314"/>
        <v>50000</v>
      </c>
      <c r="H446" s="167">
        <f t="shared" si="314"/>
        <v>50000</v>
      </c>
      <c r="I446" s="182">
        <f t="shared" si="314"/>
        <v>50000</v>
      </c>
      <c r="J446" s="216">
        <f t="shared" si="287"/>
        <v>0</v>
      </c>
      <c r="K446" s="216"/>
      <c r="L446" s="182">
        <f t="shared" si="315"/>
        <v>50000</v>
      </c>
    </row>
    <row r="447" spans="1:12" ht="54" outlineLevel="7">
      <c r="A447" s="164" t="s">
        <v>467</v>
      </c>
      <c r="B447" s="163" t="s">
        <v>504</v>
      </c>
      <c r="C447" s="163" t="s">
        <v>300</v>
      </c>
      <c r="D447" s="163" t="s">
        <v>468</v>
      </c>
      <c r="E447" s="169" t="s">
        <v>6</v>
      </c>
      <c r="F447" s="167">
        <f>F448</f>
        <v>50000</v>
      </c>
      <c r="G447" s="167">
        <f t="shared" si="314"/>
        <v>50000</v>
      </c>
      <c r="H447" s="167">
        <f t="shared" si="314"/>
        <v>50000</v>
      </c>
      <c r="I447" s="182">
        <f t="shared" si="314"/>
        <v>50000</v>
      </c>
      <c r="J447" s="216">
        <f t="shared" si="287"/>
        <v>0</v>
      </c>
      <c r="K447" s="216"/>
      <c r="L447" s="182">
        <f t="shared" si="315"/>
        <v>50000</v>
      </c>
    </row>
    <row r="448" spans="1:12" ht="24" customHeight="1" outlineLevel="7">
      <c r="A448" s="164" t="s">
        <v>15</v>
      </c>
      <c r="B448" s="163" t="s">
        <v>504</v>
      </c>
      <c r="C448" s="163" t="s">
        <v>300</v>
      </c>
      <c r="D448" s="163" t="s">
        <v>468</v>
      </c>
      <c r="E448" s="169" t="s">
        <v>16</v>
      </c>
      <c r="F448" s="167">
        <f>F449</f>
        <v>50000</v>
      </c>
      <c r="G448" s="167">
        <f t="shared" si="314"/>
        <v>50000</v>
      </c>
      <c r="H448" s="167">
        <f t="shared" si="314"/>
        <v>50000</v>
      </c>
      <c r="I448" s="182">
        <f t="shared" si="314"/>
        <v>50000</v>
      </c>
      <c r="J448" s="216">
        <f t="shared" si="287"/>
        <v>0</v>
      </c>
      <c r="K448" s="216"/>
      <c r="L448" s="182">
        <f t="shared" si="315"/>
        <v>50000</v>
      </c>
    </row>
    <row r="449" spans="1:12" ht="54" outlineLevel="7">
      <c r="A449" s="164" t="s">
        <v>17</v>
      </c>
      <c r="B449" s="163" t="s">
        <v>504</v>
      </c>
      <c r="C449" s="163" t="s">
        <v>300</v>
      </c>
      <c r="D449" s="163" t="s">
        <v>468</v>
      </c>
      <c r="E449" s="169" t="s">
        <v>18</v>
      </c>
      <c r="F449" s="167">
        <v>50000</v>
      </c>
      <c r="G449" s="167">
        <v>50000</v>
      </c>
      <c r="H449" s="184">
        <v>50000</v>
      </c>
      <c r="I449" s="195">
        <v>50000</v>
      </c>
      <c r="J449" s="216">
        <f t="shared" si="287"/>
        <v>0</v>
      </c>
      <c r="K449" s="216"/>
      <c r="L449" s="195">
        <v>50000</v>
      </c>
    </row>
    <row r="450" spans="1:12" outlineLevel="2">
      <c r="A450" s="196" t="s">
        <v>103</v>
      </c>
      <c r="B450" s="163" t="s">
        <v>504</v>
      </c>
      <c r="C450" s="197" t="s">
        <v>104</v>
      </c>
      <c r="D450" s="197" t="s">
        <v>126</v>
      </c>
      <c r="E450" s="198" t="s">
        <v>6</v>
      </c>
      <c r="F450" s="171">
        <f t="shared" ref="F450:F455" si="316">F451</f>
        <v>2500000</v>
      </c>
      <c r="G450" s="171">
        <f t="shared" ref="G450:I455" si="317">G451</f>
        <v>1000000</v>
      </c>
      <c r="H450" s="171">
        <f t="shared" si="317"/>
        <v>2500000</v>
      </c>
      <c r="I450" s="199">
        <f t="shared" si="317"/>
        <v>2500000</v>
      </c>
      <c r="J450" s="216">
        <f t="shared" si="287"/>
        <v>0</v>
      </c>
      <c r="K450" s="216"/>
      <c r="L450" s="199">
        <f t="shared" ref="L450:L455" si="318">L451</f>
        <v>2500000</v>
      </c>
    </row>
    <row r="451" spans="1:12" outlineLevel="3">
      <c r="A451" s="164" t="s">
        <v>105</v>
      </c>
      <c r="B451" s="163" t="s">
        <v>504</v>
      </c>
      <c r="C451" s="163" t="s">
        <v>106</v>
      </c>
      <c r="D451" s="163" t="s">
        <v>126</v>
      </c>
      <c r="E451" s="169" t="s">
        <v>6</v>
      </c>
      <c r="F451" s="167">
        <f t="shared" si="316"/>
        <v>2500000</v>
      </c>
      <c r="G451" s="167">
        <f t="shared" si="317"/>
        <v>1000000</v>
      </c>
      <c r="H451" s="167">
        <f t="shared" si="317"/>
        <v>2500000</v>
      </c>
      <c r="I451" s="182">
        <f t="shared" si="317"/>
        <v>2500000</v>
      </c>
      <c r="J451" s="216">
        <f t="shared" si="287"/>
        <v>0</v>
      </c>
      <c r="K451" s="216"/>
      <c r="L451" s="182">
        <f t="shared" si="318"/>
        <v>2500000</v>
      </c>
    </row>
    <row r="452" spans="1:12" ht="36.75" customHeight="1" outlineLevel="3">
      <c r="A452" s="196" t="s">
        <v>427</v>
      </c>
      <c r="B452" s="163" t="s">
        <v>504</v>
      </c>
      <c r="C452" s="197" t="s">
        <v>106</v>
      </c>
      <c r="D452" s="197" t="s">
        <v>317</v>
      </c>
      <c r="E452" s="198" t="s">
        <v>6</v>
      </c>
      <c r="F452" s="171">
        <f t="shared" si="316"/>
        <v>2500000</v>
      </c>
      <c r="G452" s="171">
        <f>G453</f>
        <v>1000000</v>
      </c>
      <c r="H452" s="171">
        <f>H453</f>
        <v>2500000</v>
      </c>
      <c r="I452" s="199">
        <f>I453</f>
        <v>2500000</v>
      </c>
      <c r="J452" s="216">
        <f t="shared" si="287"/>
        <v>0</v>
      </c>
      <c r="K452" s="216"/>
      <c r="L452" s="199">
        <f>L453</f>
        <v>2500000</v>
      </c>
    </row>
    <row r="453" spans="1:12" ht="54" outlineLevel="3">
      <c r="A453" s="200" t="s">
        <v>327</v>
      </c>
      <c r="B453" s="163" t="s">
        <v>504</v>
      </c>
      <c r="C453" s="163" t="s">
        <v>106</v>
      </c>
      <c r="D453" s="163" t="s">
        <v>318</v>
      </c>
      <c r="E453" s="169" t="s">
        <v>6</v>
      </c>
      <c r="F453" s="167">
        <f t="shared" si="316"/>
        <v>2500000</v>
      </c>
      <c r="G453" s="167">
        <f t="shared" si="317"/>
        <v>1000000</v>
      </c>
      <c r="H453" s="167">
        <f t="shared" si="317"/>
        <v>2500000</v>
      </c>
      <c r="I453" s="182">
        <f t="shared" si="317"/>
        <v>2500000</v>
      </c>
      <c r="J453" s="216">
        <f t="shared" si="287"/>
        <v>0</v>
      </c>
      <c r="K453" s="216"/>
      <c r="L453" s="182">
        <f t="shared" si="318"/>
        <v>2500000</v>
      </c>
    </row>
    <row r="454" spans="1:12" ht="54" outlineLevel="3">
      <c r="A454" s="164" t="s">
        <v>107</v>
      </c>
      <c r="B454" s="163" t="s">
        <v>504</v>
      </c>
      <c r="C454" s="163" t="s">
        <v>106</v>
      </c>
      <c r="D454" s="163" t="s">
        <v>319</v>
      </c>
      <c r="E454" s="169" t="s">
        <v>6</v>
      </c>
      <c r="F454" s="167">
        <f t="shared" si="316"/>
        <v>2500000</v>
      </c>
      <c r="G454" s="167">
        <f t="shared" si="317"/>
        <v>1000000</v>
      </c>
      <c r="H454" s="167">
        <f t="shared" si="317"/>
        <v>2500000</v>
      </c>
      <c r="I454" s="182">
        <f t="shared" si="317"/>
        <v>2500000</v>
      </c>
      <c r="J454" s="216">
        <f t="shared" si="287"/>
        <v>0</v>
      </c>
      <c r="K454" s="216"/>
      <c r="L454" s="182">
        <f t="shared" si="318"/>
        <v>2500000</v>
      </c>
    </row>
    <row r="455" spans="1:12" ht="54" outlineLevel="3">
      <c r="A455" s="164" t="s">
        <v>37</v>
      </c>
      <c r="B455" s="163" t="s">
        <v>504</v>
      </c>
      <c r="C455" s="163" t="s">
        <v>106</v>
      </c>
      <c r="D455" s="163" t="s">
        <v>319</v>
      </c>
      <c r="E455" s="169" t="s">
        <v>38</v>
      </c>
      <c r="F455" s="167">
        <f t="shared" si="316"/>
        <v>2500000</v>
      </c>
      <c r="G455" s="167">
        <f t="shared" si="317"/>
        <v>1000000</v>
      </c>
      <c r="H455" s="167">
        <f t="shared" si="317"/>
        <v>2500000</v>
      </c>
      <c r="I455" s="182">
        <f t="shared" si="317"/>
        <v>2500000</v>
      </c>
      <c r="J455" s="216">
        <f t="shared" si="287"/>
        <v>0</v>
      </c>
      <c r="K455" s="216"/>
      <c r="L455" s="182">
        <f t="shared" si="318"/>
        <v>2500000</v>
      </c>
    </row>
    <row r="456" spans="1:12" outlineLevel="3">
      <c r="A456" s="164" t="s">
        <v>39</v>
      </c>
      <c r="B456" s="163" t="s">
        <v>504</v>
      </c>
      <c r="C456" s="163" t="s">
        <v>106</v>
      </c>
      <c r="D456" s="163" t="s">
        <v>319</v>
      </c>
      <c r="E456" s="169" t="s">
        <v>40</v>
      </c>
      <c r="F456" s="167">
        <v>2500000</v>
      </c>
      <c r="G456" s="167">
        <v>1000000</v>
      </c>
      <c r="H456" s="167">
        <v>2500000</v>
      </c>
      <c r="I456" s="182">
        <v>2500000</v>
      </c>
      <c r="J456" s="216">
        <f t="shared" si="287"/>
        <v>0</v>
      </c>
      <c r="K456" s="216"/>
      <c r="L456" s="182">
        <v>2500000</v>
      </c>
    </row>
    <row r="457" spans="1:12" ht="34.799999999999997" outlineLevel="3">
      <c r="A457" s="191" t="s">
        <v>531</v>
      </c>
      <c r="B457" s="192" t="s">
        <v>505</v>
      </c>
      <c r="C457" s="192" t="s">
        <v>5</v>
      </c>
      <c r="D457" s="192" t="s">
        <v>126</v>
      </c>
      <c r="E457" s="193" t="s">
        <v>6</v>
      </c>
      <c r="F457" s="215">
        <f t="shared" ref="F457:I457" si="319">F458</f>
        <v>6730444</v>
      </c>
      <c r="G457" s="215">
        <f t="shared" si="319"/>
        <v>4972227</v>
      </c>
      <c r="H457" s="215">
        <f t="shared" si="319"/>
        <v>5604070.29</v>
      </c>
      <c r="I457" s="194">
        <f t="shared" si="319"/>
        <v>5604070.29</v>
      </c>
      <c r="J457" s="216">
        <f t="shared" si="287"/>
        <v>0</v>
      </c>
      <c r="K457" s="216"/>
      <c r="L457" s="194">
        <f t="shared" ref="L457" si="320">L458</f>
        <v>5604070.29</v>
      </c>
    </row>
    <row r="458" spans="1:12" outlineLevel="3">
      <c r="A458" s="164" t="s">
        <v>7</v>
      </c>
      <c r="B458" s="163" t="s">
        <v>505</v>
      </c>
      <c r="C458" s="163" t="s">
        <v>8</v>
      </c>
      <c r="D458" s="163" t="s">
        <v>126</v>
      </c>
      <c r="E458" s="169" t="s">
        <v>6</v>
      </c>
      <c r="F458" s="167">
        <f>F459+F474+F479+F489</f>
        <v>6730444</v>
      </c>
      <c r="G458" s="167">
        <f t="shared" ref="G458:H458" si="321">G459+G474+G479</f>
        <v>4972227</v>
      </c>
      <c r="H458" s="167">
        <f t="shared" si="321"/>
        <v>5604070.29</v>
      </c>
      <c r="I458" s="182">
        <f t="shared" ref="I458" si="322">I459+I474+I479</f>
        <v>5604070.29</v>
      </c>
      <c r="J458" s="216">
        <f t="shared" si="287"/>
        <v>0</v>
      </c>
      <c r="K458" s="216"/>
      <c r="L458" s="182">
        <f t="shared" ref="L458" si="323">L459+L474+L479</f>
        <v>5604070.29</v>
      </c>
    </row>
    <row r="459" spans="1:12" ht="90" outlineLevel="3">
      <c r="A459" s="164" t="s">
        <v>108</v>
      </c>
      <c r="B459" s="163" t="s">
        <v>505</v>
      </c>
      <c r="C459" s="163" t="s">
        <v>109</v>
      </c>
      <c r="D459" s="163" t="s">
        <v>126</v>
      </c>
      <c r="E459" s="169" t="s">
        <v>6</v>
      </c>
      <c r="F459" s="167">
        <f t="shared" ref="F459:I459" si="324">F460</f>
        <v>5053227</v>
      </c>
      <c r="G459" s="167">
        <f t="shared" si="324"/>
        <v>4852227</v>
      </c>
      <c r="H459" s="167">
        <f t="shared" si="324"/>
        <v>5466790.29</v>
      </c>
      <c r="I459" s="182">
        <f t="shared" si="324"/>
        <v>5466790.29</v>
      </c>
      <c r="J459" s="216">
        <f t="shared" si="287"/>
        <v>0</v>
      </c>
      <c r="K459" s="216"/>
      <c r="L459" s="182">
        <f t="shared" ref="L459" si="325">L460</f>
        <v>5466790.29</v>
      </c>
    </row>
    <row r="460" spans="1:12" ht="36" outlineLevel="3">
      <c r="A460" s="164" t="s">
        <v>132</v>
      </c>
      <c r="B460" s="163" t="s">
        <v>505</v>
      </c>
      <c r="C460" s="163" t="s">
        <v>109</v>
      </c>
      <c r="D460" s="163" t="s">
        <v>127</v>
      </c>
      <c r="E460" s="169" t="s">
        <v>6</v>
      </c>
      <c r="F460" s="167">
        <f t="shared" ref="F460" si="326">F461+F464+F471</f>
        <v>5053227</v>
      </c>
      <c r="G460" s="167">
        <f t="shared" ref="G460:H460" si="327">G461+G464+G471</f>
        <v>4852227</v>
      </c>
      <c r="H460" s="167">
        <f t="shared" si="327"/>
        <v>5466790.29</v>
      </c>
      <c r="I460" s="182">
        <f t="shared" ref="I460" si="328">I461+I464+I471</f>
        <v>5466790.29</v>
      </c>
      <c r="J460" s="216">
        <f t="shared" si="287"/>
        <v>0</v>
      </c>
      <c r="K460" s="216"/>
      <c r="L460" s="182">
        <f t="shared" ref="L460" si="329">L461+L464+L471</f>
        <v>5466790.29</v>
      </c>
    </row>
    <row r="461" spans="1:12" ht="36" outlineLevel="7">
      <c r="A461" s="164" t="s">
        <v>532</v>
      </c>
      <c r="B461" s="163" t="s">
        <v>505</v>
      </c>
      <c r="C461" s="163" t="s">
        <v>109</v>
      </c>
      <c r="D461" s="163" t="s">
        <v>533</v>
      </c>
      <c r="E461" s="169" t="s">
        <v>6</v>
      </c>
      <c r="F461" s="167">
        <f t="shared" ref="F461:I462" si="330">F462</f>
        <v>2328541</v>
      </c>
      <c r="G461" s="167">
        <f t="shared" si="330"/>
        <v>2207541</v>
      </c>
      <c r="H461" s="167">
        <f t="shared" si="330"/>
        <v>2517857.96</v>
      </c>
      <c r="I461" s="182">
        <f t="shared" si="330"/>
        <v>2517857.96</v>
      </c>
      <c r="J461" s="216">
        <f t="shared" si="287"/>
        <v>0</v>
      </c>
      <c r="K461" s="216"/>
      <c r="L461" s="182">
        <f t="shared" ref="L461:L462" si="331">L462</f>
        <v>2517857.96</v>
      </c>
    </row>
    <row r="462" spans="1:12" ht="57.15" customHeight="1" outlineLevel="7">
      <c r="A462" s="164" t="s">
        <v>11</v>
      </c>
      <c r="B462" s="163" t="s">
        <v>505</v>
      </c>
      <c r="C462" s="163" t="s">
        <v>109</v>
      </c>
      <c r="D462" s="163" t="s">
        <v>533</v>
      </c>
      <c r="E462" s="169" t="s">
        <v>12</v>
      </c>
      <c r="F462" s="167">
        <f t="shared" si="330"/>
        <v>2328541</v>
      </c>
      <c r="G462" s="167">
        <f t="shared" si="330"/>
        <v>2207541</v>
      </c>
      <c r="H462" s="167">
        <f t="shared" si="330"/>
        <v>2517857.96</v>
      </c>
      <c r="I462" s="182">
        <f t="shared" si="330"/>
        <v>2517857.96</v>
      </c>
      <c r="J462" s="216">
        <f t="shared" si="287"/>
        <v>0</v>
      </c>
      <c r="K462" s="216"/>
      <c r="L462" s="182">
        <f t="shared" si="331"/>
        <v>2517857.96</v>
      </c>
    </row>
    <row r="463" spans="1:12" ht="18.75" customHeight="1" outlineLevel="7">
      <c r="A463" s="164" t="s">
        <v>13</v>
      </c>
      <c r="B463" s="163" t="s">
        <v>505</v>
      </c>
      <c r="C463" s="163" t="s">
        <v>109</v>
      </c>
      <c r="D463" s="163" t="s">
        <v>533</v>
      </c>
      <c r="E463" s="169" t="s">
        <v>14</v>
      </c>
      <c r="F463" s="184">
        <v>2328541</v>
      </c>
      <c r="G463" s="184">
        <v>2207541</v>
      </c>
      <c r="H463" s="184">
        <f>1961169.96+556688</f>
        <v>2517857.96</v>
      </c>
      <c r="I463" s="195">
        <v>2517857.96</v>
      </c>
      <c r="J463" s="216">
        <f t="shared" si="287"/>
        <v>0</v>
      </c>
      <c r="K463" s="216"/>
      <c r="L463" s="195">
        <v>2517857.96</v>
      </c>
    </row>
    <row r="464" spans="1:12" ht="72" outlineLevel="2">
      <c r="A464" s="164" t="s">
        <v>498</v>
      </c>
      <c r="B464" s="163" t="s">
        <v>505</v>
      </c>
      <c r="C464" s="163" t="s">
        <v>109</v>
      </c>
      <c r="D464" s="163" t="s">
        <v>499</v>
      </c>
      <c r="E464" s="169" t="s">
        <v>6</v>
      </c>
      <c r="F464" s="167">
        <f t="shared" ref="F464" si="332">F465+F467+F469</f>
        <v>2544686</v>
      </c>
      <c r="G464" s="167">
        <f t="shared" ref="G464:H464" si="333">G465+G467+G469</f>
        <v>2464686</v>
      </c>
      <c r="H464" s="167">
        <f t="shared" si="333"/>
        <v>2768932.33</v>
      </c>
      <c r="I464" s="182">
        <f t="shared" ref="I464" si="334">I465+I467+I469</f>
        <v>2768932.33</v>
      </c>
      <c r="J464" s="216">
        <f t="shared" si="287"/>
        <v>0</v>
      </c>
      <c r="K464" s="216"/>
      <c r="L464" s="182">
        <f t="shared" ref="L464" si="335">L465+L467+L469</f>
        <v>2768932.33</v>
      </c>
    </row>
    <row r="465" spans="1:12" ht="57.15" customHeight="1" outlineLevel="3">
      <c r="A465" s="164" t="s">
        <v>11</v>
      </c>
      <c r="B465" s="163" t="s">
        <v>505</v>
      </c>
      <c r="C465" s="163" t="s">
        <v>109</v>
      </c>
      <c r="D465" s="163" t="s">
        <v>499</v>
      </c>
      <c r="E465" s="169" t="s">
        <v>12</v>
      </c>
      <c r="F465" s="167">
        <f t="shared" ref="F465:I465" si="336">F466</f>
        <v>2391186</v>
      </c>
      <c r="G465" s="167">
        <f t="shared" si="336"/>
        <v>2319186</v>
      </c>
      <c r="H465" s="167">
        <f t="shared" si="336"/>
        <v>2517432.33</v>
      </c>
      <c r="I465" s="182">
        <f t="shared" si="336"/>
        <v>2517432.33</v>
      </c>
      <c r="J465" s="216">
        <f t="shared" si="287"/>
        <v>0</v>
      </c>
      <c r="K465" s="216"/>
      <c r="L465" s="182">
        <f t="shared" ref="L465" si="337">L466</f>
        <v>2517432.33</v>
      </c>
    </row>
    <row r="466" spans="1:12" ht="19.5" customHeight="1" outlineLevel="5">
      <c r="A466" s="164" t="s">
        <v>13</v>
      </c>
      <c r="B466" s="163" t="s">
        <v>505</v>
      </c>
      <c r="C466" s="163" t="s">
        <v>109</v>
      </c>
      <c r="D466" s="163" t="s">
        <v>499</v>
      </c>
      <c r="E466" s="169" t="s">
        <v>14</v>
      </c>
      <c r="F466" s="184">
        <v>2391186</v>
      </c>
      <c r="G466" s="184">
        <v>2319186</v>
      </c>
      <c r="H466" s="167">
        <f>1933511.48+583920.85</f>
        <v>2517432.33</v>
      </c>
      <c r="I466" s="182">
        <v>2517432.33</v>
      </c>
      <c r="J466" s="216">
        <f t="shared" si="287"/>
        <v>0</v>
      </c>
      <c r="K466" s="216"/>
      <c r="L466" s="182">
        <v>2517432.33</v>
      </c>
    </row>
    <row r="467" spans="1:12" ht="19.5" customHeight="1" outlineLevel="6">
      <c r="A467" s="164" t="s">
        <v>15</v>
      </c>
      <c r="B467" s="163" t="s">
        <v>505</v>
      </c>
      <c r="C467" s="163" t="s">
        <v>109</v>
      </c>
      <c r="D467" s="163" t="s">
        <v>499</v>
      </c>
      <c r="E467" s="169" t="s">
        <v>16</v>
      </c>
      <c r="F467" s="167">
        <f t="shared" ref="F467:I467" si="338">F468</f>
        <v>148000</v>
      </c>
      <c r="G467" s="167">
        <f t="shared" si="338"/>
        <v>140000</v>
      </c>
      <c r="H467" s="167">
        <f t="shared" si="338"/>
        <v>246000</v>
      </c>
      <c r="I467" s="182">
        <f t="shared" si="338"/>
        <v>246000</v>
      </c>
      <c r="J467" s="216">
        <f t="shared" si="287"/>
        <v>0</v>
      </c>
      <c r="K467" s="216"/>
      <c r="L467" s="182">
        <f t="shared" ref="L467" si="339">L468</f>
        <v>246000</v>
      </c>
    </row>
    <row r="468" spans="1:12" ht="54" outlineLevel="7">
      <c r="A468" s="164" t="s">
        <v>17</v>
      </c>
      <c r="B468" s="163" t="s">
        <v>505</v>
      </c>
      <c r="C468" s="163" t="s">
        <v>109</v>
      </c>
      <c r="D468" s="163" t="s">
        <v>499</v>
      </c>
      <c r="E468" s="169" t="s">
        <v>18</v>
      </c>
      <c r="F468" s="184">
        <v>148000</v>
      </c>
      <c r="G468" s="184">
        <v>140000</v>
      </c>
      <c r="H468" s="184">
        <v>246000</v>
      </c>
      <c r="I468" s="195">
        <v>246000</v>
      </c>
      <c r="J468" s="216">
        <f t="shared" si="287"/>
        <v>0</v>
      </c>
      <c r="K468" s="216"/>
      <c r="L468" s="195">
        <v>246000</v>
      </c>
    </row>
    <row r="469" spans="1:12" outlineLevel="6">
      <c r="A469" s="164" t="s">
        <v>19</v>
      </c>
      <c r="B469" s="163" t="s">
        <v>505</v>
      </c>
      <c r="C469" s="163" t="s">
        <v>109</v>
      </c>
      <c r="D469" s="163" t="s">
        <v>499</v>
      </c>
      <c r="E469" s="169" t="s">
        <v>20</v>
      </c>
      <c r="F469" s="167">
        <f t="shared" ref="F469:I469" si="340">F470</f>
        <v>5500</v>
      </c>
      <c r="G469" s="167">
        <f t="shared" si="340"/>
        <v>5500</v>
      </c>
      <c r="H469" s="167">
        <f t="shared" si="340"/>
        <v>5500</v>
      </c>
      <c r="I469" s="182">
        <f t="shared" si="340"/>
        <v>5500</v>
      </c>
      <c r="J469" s="216">
        <f t="shared" si="287"/>
        <v>0</v>
      </c>
      <c r="K469" s="216"/>
      <c r="L469" s="182">
        <f t="shared" ref="L469" si="341">L470</f>
        <v>5500</v>
      </c>
    </row>
    <row r="470" spans="1:12" outlineLevel="7">
      <c r="A470" s="164" t="s">
        <v>21</v>
      </c>
      <c r="B470" s="163" t="s">
        <v>505</v>
      </c>
      <c r="C470" s="163" t="s">
        <v>109</v>
      </c>
      <c r="D470" s="163" t="s">
        <v>499</v>
      </c>
      <c r="E470" s="169" t="s">
        <v>22</v>
      </c>
      <c r="F470" s="184">
        <v>5500</v>
      </c>
      <c r="G470" s="184">
        <v>5500</v>
      </c>
      <c r="H470" s="184">
        <v>5500</v>
      </c>
      <c r="I470" s="195">
        <v>5500</v>
      </c>
      <c r="J470" s="216">
        <f t="shared" si="287"/>
        <v>0</v>
      </c>
      <c r="K470" s="216"/>
      <c r="L470" s="195">
        <v>5500</v>
      </c>
    </row>
    <row r="471" spans="1:12" ht="36" outlineLevel="5">
      <c r="A471" s="164" t="s">
        <v>535</v>
      </c>
      <c r="B471" s="163" t="s">
        <v>505</v>
      </c>
      <c r="C471" s="163" t="s">
        <v>109</v>
      </c>
      <c r="D471" s="163" t="s">
        <v>534</v>
      </c>
      <c r="E471" s="169" t="s">
        <v>6</v>
      </c>
      <c r="F471" s="167">
        <f t="shared" ref="F471:I472" si="342">F472</f>
        <v>180000</v>
      </c>
      <c r="G471" s="167">
        <f t="shared" si="342"/>
        <v>180000</v>
      </c>
      <c r="H471" s="167">
        <f t="shared" si="342"/>
        <v>180000</v>
      </c>
      <c r="I471" s="182">
        <f t="shared" si="342"/>
        <v>180000</v>
      </c>
      <c r="J471" s="216">
        <f t="shared" si="287"/>
        <v>0</v>
      </c>
      <c r="K471" s="216"/>
      <c r="L471" s="182">
        <f t="shared" ref="L471:L472" si="343">L472</f>
        <v>180000</v>
      </c>
    </row>
    <row r="472" spans="1:12" ht="58.65" customHeight="1" outlineLevel="6">
      <c r="A472" s="164" t="s">
        <v>11</v>
      </c>
      <c r="B472" s="163" t="s">
        <v>505</v>
      </c>
      <c r="C472" s="163" t="s">
        <v>109</v>
      </c>
      <c r="D472" s="163" t="s">
        <v>534</v>
      </c>
      <c r="E472" s="169" t="s">
        <v>12</v>
      </c>
      <c r="F472" s="167">
        <f t="shared" si="342"/>
        <v>180000</v>
      </c>
      <c r="G472" s="167">
        <f t="shared" si="342"/>
        <v>180000</v>
      </c>
      <c r="H472" s="167">
        <f t="shared" si="342"/>
        <v>180000</v>
      </c>
      <c r="I472" s="182">
        <f t="shared" si="342"/>
        <v>180000</v>
      </c>
      <c r="J472" s="216">
        <f t="shared" si="287"/>
        <v>0</v>
      </c>
      <c r="K472" s="216"/>
      <c r="L472" s="182">
        <f t="shared" si="343"/>
        <v>180000</v>
      </c>
    </row>
    <row r="473" spans="1:12" ht="18.75" customHeight="1" outlineLevel="7">
      <c r="A473" s="164" t="s">
        <v>13</v>
      </c>
      <c r="B473" s="163" t="s">
        <v>505</v>
      </c>
      <c r="C473" s="163" t="s">
        <v>109</v>
      </c>
      <c r="D473" s="163" t="s">
        <v>534</v>
      </c>
      <c r="E473" s="169" t="s">
        <v>14</v>
      </c>
      <c r="F473" s="184">
        <v>180000</v>
      </c>
      <c r="G473" s="184">
        <v>180000</v>
      </c>
      <c r="H473" s="184">
        <v>180000</v>
      </c>
      <c r="I473" s="195">
        <v>180000</v>
      </c>
      <c r="J473" s="216">
        <f t="shared" si="287"/>
        <v>0</v>
      </c>
      <c r="K473" s="216"/>
      <c r="L473" s="195">
        <v>180000</v>
      </c>
    </row>
    <row r="474" spans="1:12" ht="72" outlineLevel="6">
      <c r="A474" s="164" t="s">
        <v>9</v>
      </c>
      <c r="B474" s="163" t="s">
        <v>505</v>
      </c>
      <c r="C474" s="163" t="s">
        <v>10</v>
      </c>
      <c r="D474" s="163" t="s">
        <v>126</v>
      </c>
      <c r="E474" s="169" t="s">
        <v>6</v>
      </c>
      <c r="F474" s="167">
        <f t="shared" ref="F474:I477" si="344">F475</f>
        <v>0</v>
      </c>
      <c r="G474" s="167">
        <f t="shared" si="344"/>
        <v>0</v>
      </c>
      <c r="H474" s="167">
        <f t="shared" si="344"/>
        <v>0</v>
      </c>
      <c r="I474" s="182">
        <f t="shared" si="344"/>
        <v>0</v>
      </c>
      <c r="J474" s="216">
        <f t="shared" si="287"/>
        <v>0</v>
      </c>
      <c r="K474" s="216"/>
      <c r="L474" s="182">
        <f t="shared" ref="L474:L477" si="345">L475</f>
        <v>0</v>
      </c>
    </row>
    <row r="475" spans="1:12" ht="0.75" customHeight="1" outlineLevel="7">
      <c r="A475" s="164" t="s">
        <v>132</v>
      </c>
      <c r="B475" s="163" t="s">
        <v>505</v>
      </c>
      <c r="C475" s="163" t="s">
        <v>10</v>
      </c>
      <c r="D475" s="163" t="s">
        <v>127</v>
      </c>
      <c r="E475" s="169" t="s">
        <v>6</v>
      </c>
      <c r="F475" s="167">
        <f t="shared" si="344"/>
        <v>0</v>
      </c>
      <c r="G475" s="167">
        <f t="shared" si="344"/>
        <v>0</v>
      </c>
      <c r="H475" s="167">
        <f t="shared" si="344"/>
        <v>0</v>
      </c>
      <c r="I475" s="182">
        <f t="shared" si="344"/>
        <v>0</v>
      </c>
      <c r="J475" s="216">
        <f t="shared" si="287"/>
        <v>0</v>
      </c>
      <c r="K475" s="216"/>
      <c r="L475" s="182">
        <f t="shared" si="345"/>
        <v>0</v>
      </c>
    </row>
    <row r="476" spans="1:12" ht="24" customHeight="1" outlineLevel="6">
      <c r="A476" s="164" t="s">
        <v>120</v>
      </c>
      <c r="B476" s="163" t="s">
        <v>505</v>
      </c>
      <c r="C476" s="163" t="s">
        <v>10</v>
      </c>
      <c r="D476" s="163" t="s">
        <v>143</v>
      </c>
      <c r="E476" s="169" t="s">
        <v>6</v>
      </c>
      <c r="F476" s="167">
        <f t="shared" si="344"/>
        <v>0</v>
      </c>
      <c r="G476" s="167">
        <f t="shared" si="344"/>
        <v>0</v>
      </c>
      <c r="H476" s="167">
        <f t="shared" si="344"/>
        <v>0</v>
      </c>
      <c r="I476" s="182">
        <f t="shared" si="344"/>
        <v>0</v>
      </c>
      <c r="J476" s="216">
        <f t="shared" si="287"/>
        <v>0</v>
      </c>
      <c r="K476" s="216"/>
      <c r="L476" s="182">
        <f t="shared" si="345"/>
        <v>0</v>
      </c>
    </row>
    <row r="477" spans="1:12" ht="24.75" customHeight="1" outlineLevel="7">
      <c r="A477" s="164" t="s">
        <v>11</v>
      </c>
      <c r="B477" s="163" t="s">
        <v>505</v>
      </c>
      <c r="C477" s="163" t="s">
        <v>10</v>
      </c>
      <c r="D477" s="163" t="s">
        <v>143</v>
      </c>
      <c r="E477" s="169" t="s">
        <v>12</v>
      </c>
      <c r="F477" s="167">
        <f t="shared" si="344"/>
        <v>0</v>
      </c>
      <c r="G477" s="167">
        <f t="shared" si="344"/>
        <v>0</v>
      </c>
      <c r="H477" s="167">
        <f t="shared" si="344"/>
        <v>0</v>
      </c>
      <c r="I477" s="182">
        <f t="shared" si="344"/>
        <v>0</v>
      </c>
      <c r="J477" s="216">
        <f t="shared" si="287"/>
        <v>0</v>
      </c>
      <c r="K477" s="216"/>
      <c r="L477" s="182">
        <f t="shared" si="345"/>
        <v>0</v>
      </c>
    </row>
    <row r="478" spans="1:12" ht="34.5" customHeight="1" outlineLevel="3">
      <c r="A478" s="164" t="s">
        <v>13</v>
      </c>
      <c r="B478" s="163" t="s">
        <v>505</v>
      </c>
      <c r="C478" s="163" t="s">
        <v>10</v>
      </c>
      <c r="D478" s="163" t="s">
        <v>143</v>
      </c>
      <c r="E478" s="169" t="s">
        <v>14</v>
      </c>
      <c r="F478" s="184"/>
      <c r="G478" s="184"/>
      <c r="H478" s="167"/>
      <c r="I478" s="182"/>
      <c r="J478" s="216">
        <f t="shared" si="287"/>
        <v>0</v>
      </c>
      <c r="K478" s="216"/>
      <c r="L478" s="182"/>
    </row>
    <row r="479" spans="1:12" outlineLevel="3">
      <c r="A479" s="164" t="s">
        <v>23</v>
      </c>
      <c r="B479" s="163" t="s">
        <v>505</v>
      </c>
      <c r="C479" s="163" t="s">
        <v>24</v>
      </c>
      <c r="D479" s="163" t="s">
        <v>126</v>
      </c>
      <c r="E479" s="169" t="s">
        <v>6</v>
      </c>
      <c r="F479" s="167">
        <f t="shared" ref="F479" si="346">F480+F485</f>
        <v>132000</v>
      </c>
      <c r="G479" s="167">
        <f t="shared" ref="G479:H479" si="347">G480+G485</f>
        <v>120000</v>
      </c>
      <c r="H479" s="167">
        <f t="shared" si="347"/>
        <v>137280</v>
      </c>
      <c r="I479" s="182">
        <f t="shared" ref="I479" si="348">I480+I485</f>
        <v>137280</v>
      </c>
      <c r="J479" s="216">
        <f t="shared" si="287"/>
        <v>0</v>
      </c>
      <c r="K479" s="216"/>
      <c r="L479" s="182">
        <f t="shared" ref="L479" si="349">L480+L485</f>
        <v>137280</v>
      </c>
    </row>
    <row r="480" spans="1:12" ht="72" outlineLevel="3">
      <c r="A480" s="196" t="s">
        <v>420</v>
      </c>
      <c r="B480" s="197" t="s">
        <v>505</v>
      </c>
      <c r="C480" s="197" t="s">
        <v>24</v>
      </c>
      <c r="D480" s="197" t="s">
        <v>128</v>
      </c>
      <c r="E480" s="198" t="s">
        <v>6</v>
      </c>
      <c r="F480" s="171">
        <f t="shared" ref="F480:I483" si="350">F481</f>
        <v>32000</v>
      </c>
      <c r="G480" s="171">
        <f t="shared" si="350"/>
        <v>20000</v>
      </c>
      <c r="H480" s="171">
        <f t="shared" si="350"/>
        <v>33280</v>
      </c>
      <c r="I480" s="199">
        <f t="shared" si="350"/>
        <v>33280</v>
      </c>
      <c r="J480" s="216">
        <f t="shared" si="287"/>
        <v>0</v>
      </c>
      <c r="K480" s="216"/>
      <c r="L480" s="199">
        <f t="shared" ref="L480:L483" si="351">L481</f>
        <v>33280</v>
      </c>
    </row>
    <row r="481" spans="1:12" ht="72" outlineLevel="3">
      <c r="A481" s="200" t="s">
        <v>214</v>
      </c>
      <c r="B481" s="163" t="s">
        <v>505</v>
      </c>
      <c r="C481" s="163" t="s">
        <v>24</v>
      </c>
      <c r="D481" s="163" t="s">
        <v>315</v>
      </c>
      <c r="E481" s="169" t="s">
        <v>6</v>
      </c>
      <c r="F481" s="167">
        <f t="shared" si="350"/>
        <v>32000</v>
      </c>
      <c r="G481" s="167">
        <f t="shared" si="350"/>
        <v>20000</v>
      </c>
      <c r="H481" s="167">
        <f t="shared" si="350"/>
        <v>33280</v>
      </c>
      <c r="I481" s="182">
        <f t="shared" si="350"/>
        <v>33280</v>
      </c>
      <c r="J481" s="216">
        <f t="shared" si="287"/>
        <v>0</v>
      </c>
      <c r="K481" s="216"/>
      <c r="L481" s="182">
        <f t="shared" si="351"/>
        <v>33280</v>
      </c>
    </row>
    <row r="482" spans="1:12" ht="36" outlineLevel="3">
      <c r="A482" s="200" t="s">
        <v>321</v>
      </c>
      <c r="B482" s="163" t="s">
        <v>505</v>
      </c>
      <c r="C482" s="163" t="s">
        <v>24</v>
      </c>
      <c r="D482" s="163" t="s">
        <v>316</v>
      </c>
      <c r="E482" s="169" t="s">
        <v>6</v>
      </c>
      <c r="F482" s="167">
        <f t="shared" si="350"/>
        <v>32000</v>
      </c>
      <c r="G482" s="167">
        <f t="shared" si="350"/>
        <v>20000</v>
      </c>
      <c r="H482" s="167">
        <f t="shared" si="350"/>
        <v>33280</v>
      </c>
      <c r="I482" s="182">
        <f t="shared" si="350"/>
        <v>33280</v>
      </c>
      <c r="J482" s="216">
        <f t="shared" si="287"/>
        <v>0</v>
      </c>
      <c r="K482" s="216"/>
      <c r="L482" s="182">
        <f t="shared" si="351"/>
        <v>33280</v>
      </c>
    </row>
    <row r="483" spans="1:12" ht="19.5" customHeight="1" outlineLevel="3">
      <c r="A483" s="164" t="s">
        <v>15</v>
      </c>
      <c r="B483" s="163" t="s">
        <v>505</v>
      </c>
      <c r="C483" s="163" t="s">
        <v>24</v>
      </c>
      <c r="D483" s="163" t="s">
        <v>316</v>
      </c>
      <c r="E483" s="169" t="s">
        <v>16</v>
      </c>
      <c r="F483" s="167">
        <f t="shared" si="350"/>
        <v>32000</v>
      </c>
      <c r="G483" s="167">
        <f t="shared" si="350"/>
        <v>20000</v>
      </c>
      <c r="H483" s="167">
        <f t="shared" si="350"/>
        <v>33280</v>
      </c>
      <c r="I483" s="182">
        <f t="shared" si="350"/>
        <v>33280</v>
      </c>
      <c r="J483" s="216">
        <f t="shared" si="287"/>
        <v>0</v>
      </c>
      <c r="K483" s="216"/>
      <c r="L483" s="182">
        <f t="shared" si="351"/>
        <v>33280</v>
      </c>
    </row>
    <row r="484" spans="1:12" ht="54" outlineLevel="3">
      <c r="A484" s="164" t="s">
        <v>17</v>
      </c>
      <c r="B484" s="163" t="s">
        <v>505</v>
      </c>
      <c r="C484" s="163" t="s">
        <v>24</v>
      </c>
      <c r="D484" s="163" t="s">
        <v>316</v>
      </c>
      <c r="E484" s="169" t="s">
        <v>18</v>
      </c>
      <c r="F484" s="184">
        <v>32000</v>
      </c>
      <c r="G484" s="184">
        <v>20000</v>
      </c>
      <c r="H484" s="167">
        <v>33280</v>
      </c>
      <c r="I484" s="182">
        <v>33280</v>
      </c>
      <c r="J484" s="216">
        <f t="shared" si="287"/>
        <v>0</v>
      </c>
      <c r="K484" s="216"/>
      <c r="L484" s="182">
        <v>33280</v>
      </c>
    </row>
    <row r="485" spans="1:12" ht="54" outlineLevel="3">
      <c r="A485" s="196" t="s">
        <v>132</v>
      </c>
      <c r="B485" s="197" t="s">
        <v>505</v>
      </c>
      <c r="C485" s="197" t="s">
        <v>24</v>
      </c>
      <c r="D485" s="197" t="s">
        <v>127</v>
      </c>
      <c r="E485" s="198" t="s">
        <v>6</v>
      </c>
      <c r="F485" s="220">
        <f t="shared" ref="F485:I487" si="352">F486</f>
        <v>100000</v>
      </c>
      <c r="G485" s="220">
        <f t="shared" si="352"/>
        <v>100000</v>
      </c>
      <c r="H485" s="220">
        <f t="shared" si="352"/>
        <v>104000</v>
      </c>
      <c r="I485" s="212">
        <f t="shared" si="352"/>
        <v>104000</v>
      </c>
      <c r="J485" s="216">
        <f t="shared" si="287"/>
        <v>0</v>
      </c>
      <c r="K485" s="216"/>
      <c r="L485" s="212">
        <f t="shared" ref="L485:L487" si="353">L486</f>
        <v>104000</v>
      </c>
    </row>
    <row r="486" spans="1:12" ht="21.75" customHeight="1" outlineLevel="3">
      <c r="A486" s="164" t="s">
        <v>536</v>
      </c>
      <c r="B486" s="163" t="s">
        <v>505</v>
      </c>
      <c r="C486" s="163" t="s">
        <v>24</v>
      </c>
      <c r="D486" s="213">
        <v>9909970201</v>
      </c>
      <c r="E486" s="169" t="s">
        <v>6</v>
      </c>
      <c r="F486" s="218">
        <f t="shared" si="352"/>
        <v>100000</v>
      </c>
      <c r="G486" s="218">
        <f t="shared" si="352"/>
        <v>100000</v>
      </c>
      <c r="H486" s="218">
        <f t="shared" si="352"/>
        <v>104000</v>
      </c>
      <c r="I486" s="204">
        <f t="shared" si="352"/>
        <v>104000</v>
      </c>
      <c r="J486" s="216">
        <f t="shared" si="287"/>
        <v>0</v>
      </c>
      <c r="K486" s="216"/>
      <c r="L486" s="204">
        <f t="shared" si="353"/>
        <v>104000</v>
      </c>
    </row>
    <row r="487" spans="1:12" ht="18.75" customHeight="1" outlineLevel="3">
      <c r="A487" s="164" t="s">
        <v>15</v>
      </c>
      <c r="B487" s="163" t="s">
        <v>505</v>
      </c>
      <c r="C487" s="163" t="s">
        <v>24</v>
      </c>
      <c r="D487" s="213">
        <v>9909970201</v>
      </c>
      <c r="E487" s="169" t="s">
        <v>16</v>
      </c>
      <c r="F487" s="218">
        <f t="shared" si="352"/>
        <v>100000</v>
      </c>
      <c r="G487" s="218">
        <f t="shared" si="352"/>
        <v>100000</v>
      </c>
      <c r="H487" s="218">
        <f t="shared" si="352"/>
        <v>104000</v>
      </c>
      <c r="I487" s="204">
        <f t="shared" si="352"/>
        <v>104000</v>
      </c>
      <c r="J487" s="216">
        <f t="shared" si="287"/>
        <v>0</v>
      </c>
      <c r="K487" s="216"/>
      <c r="L487" s="204">
        <f t="shared" si="353"/>
        <v>104000</v>
      </c>
    </row>
    <row r="488" spans="1:12" ht="54" outlineLevel="3">
      <c r="A488" s="164" t="s">
        <v>17</v>
      </c>
      <c r="B488" s="163" t="s">
        <v>505</v>
      </c>
      <c r="C488" s="163" t="s">
        <v>24</v>
      </c>
      <c r="D488" s="213">
        <v>9909970201</v>
      </c>
      <c r="E488" s="169" t="s">
        <v>18</v>
      </c>
      <c r="F488" s="184">
        <v>100000</v>
      </c>
      <c r="G488" s="184">
        <v>100000</v>
      </c>
      <c r="H488" s="167">
        <v>104000</v>
      </c>
      <c r="I488" s="182">
        <v>104000</v>
      </c>
      <c r="J488" s="216">
        <f t="shared" ref="J488:J551" si="354">I488-H488</f>
        <v>0</v>
      </c>
      <c r="K488" s="216"/>
      <c r="L488" s="182">
        <v>104000</v>
      </c>
    </row>
    <row r="489" spans="1:12" ht="72" outlineLevel="3">
      <c r="A489" s="164" t="s">
        <v>9</v>
      </c>
      <c r="B489" s="163" t="s">
        <v>505</v>
      </c>
      <c r="C489" s="163" t="s">
        <v>10</v>
      </c>
      <c r="D489" s="163" t="s">
        <v>126</v>
      </c>
      <c r="E489" s="163" t="s">
        <v>6</v>
      </c>
      <c r="F489" s="167">
        <f>F490</f>
        <v>1545217</v>
      </c>
      <c r="G489" s="167">
        <f t="shared" ref="G489:I490" si="355">G490</f>
        <v>0</v>
      </c>
      <c r="H489" s="167">
        <f t="shared" si="355"/>
        <v>0</v>
      </c>
      <c r="I489" s="167">
        <f t="shared" si="355"/>
        <v>0</v>
      </c>
      <c r="J489" s="216">
        <f t="shared" si="354"/>
        <v>0</v>
      </c>
      <c r="K489" s="216"/>
      <c r="L489" s="167">
        <f t="shared" ref="L489:L490" si="356">L490</f>
        <v>0</v>
      </c>
    </row>
    <row r="490" spans="1:12" ht="36" outlineLevel="3">
      <c r="A490" s="164" t="s">
        <v>132</v>
      </c>
      <c r="B490" s="163" t="s">
        <v>505</v>
      </c>
      <c r="C490" s="163" t="s">
        <v>10</v>
      </c>
      <c r="D490" s="163" t="s">
        <v>127</v>
      </c>
      <c r="E490" s="163" t="s">
        <v>6</v>
      </c>
      <c r="F490" s="167">
        <f>F491</f>
        <v>1545217</v>
      </c>
      <c r="G490" s="167">
        <f t="shared" si="355"/>
        <v>0</v>
      </c>
      <c r="H490" s="167">
        <f t="shared" si="355"/>
        <v>0</v>
      </c>
      <c r="I490" s="167">
        <f t="shared" si="355"/>
        <v>0</v>
      </c>
      <c r="J490" s="216">
        <f t="shared" si="354"/>
        <v>0</v>
      </c>
      <c r="K490" s="216"/>
      <c r="L490" s="167">
        <f t="shared" si="356"/>
        <v>0</v>
      </c>
    </row>
    <row r="491" spans="1:12" outlineLevel="3">
      <c r="A491" s="164" t="s">
        <v>120</v>
      </c>
      <c r="B491" s="163" t="s">
        <v>505</v>
      </c>
      <c r="C491" s="163" t="s">
        <v>10</v>
      </c>
      <c r="D491" s="163" t="s">
        <v>143</v>
      </c>
      <c r="E491" s="163" t="s">
        <v>6</v>
      </c>
      <c r="F491" s="167">
        <f>F492+F494</f>
        <v>1545217</v>
      </c>
      <c r="G491" s="184"/>
      <c r="H491" s="167"/>
      <c r="I491" s="182"/>
      <c r="J491" s="216">
        <f t="shared" si="354"/>
        <v>0</v>
      </c>
      <c r="K491" s="216"/>
      <c r="L491" s="182"/>
    </row>
    <row r="492" spans="1:12" ht="108" outlineLevel="3">
      <c r="A492" s="164" t="s">
        <v>11</v>
      </c>
      <c r="B492" s="163" t="s">
        <v>505</v>
      </c>
      <c r="C492" s="163" t="s">
        <v>10</v>
      </c>
      <c r="D492" s="163" t="s">
        <v>143</v>
      </c>
      <c r="E492" s="163" t="s">
        <v>12</v>
      </c>
      <c r="F492" s="167">
        <f>F493</f>
        <v>1365217</v>
      </c>
      <c r="G492" s="167">
        <f t="shared" ref="G492:I492" si="357">G493</f>
        <v>0</v>
      </c>
      <c r="H492" s="167">
        <f t="shared" si="357"/>
        <v>0</v>
      </c>
      <c r="I492" s="167">
        <f t="shared" si="357"/>
        <v>0</v>
      </c>
      <c r="J492" s="216">
        <f t="shared" si="354"/>
        <v>0</v>
      </c>
      <c r="K492" s="216"/>
      <c r="L492" s="167">
        <f t="shared" ref="L492" si="358">L493</f>
        <v>0</v>
      </c>
    </row>
    <row r="493" spans="1:12" ht="54" outlineLevel="3">
      <c r="A493" s="164" t="s">
        <v>13</v>
      </c>
      <c r="B493" s="163" t="s">
        <v>505</v>
      </c>
      <c r="C493" s="163" t="s">
        <v>10</v>
      </c>
      <c r="D493" s="163" t="s">
        <v>143</v>
      </c>
      <c r="E493" s="163" t="s">
        <v>14</v>
      </c>
      <c r="F493" s="184">
        <v>1365217</v>
      </c>
      <c r="G493" s="184"/>
      <c r="H493" s="184"/>
      <c r="I493" s="184"/>
      <c r="J493" s="216">
        <f t="shared" si="354"/>
        <v>0</v>
      </c>
      <c r="K493" s="216"/>
      <c r="L493" s="184"/>
    </row>
    <row r="494" spans="1:12" ht="36" outlineLevel="3">
      <c r="A494" s="164" t="s">
        <v>15</v>
      </c>
      <c r="B494" s="163" t="s">
        <v>505</v>
      </c>
      <c r="C494" s="163" t="s">
        <v>10</v>
      </c>
      <c r="D494" s="163" t="s">
        <v>143</v>
      </c>
      <c r="E494" s="163" t="s">
        <v>16</v>
      </c>
      <c r="F494" s="184">
        <f>F495</f>
        <v>180000</v>
      </c>
      <c r="G494" s="184">
        <f t="shared" ref="G494:I494" si="359">G495</f>
        <v>0</v>
      </c>
      <c r="H494" s="184">
        <f t="shared" si="359"/>
        <v>0</v>
      </c>
      <c r="I494" s="184">
        <f t="shared" si="359"/>
        <v>0</v>
      </c>
      <c r="J494" s="216">
        <f t="shared" si="354"/>
        <v>0</v>
      </c>
      <c r="K494" s="216"/>
      <c r="L494" s="184">
        <f t="shared" ref="L494" si="360">L495</f>
        <v>0</v>
      </c>
    </row>
    <row r="495" spans="1:12" ht="54" outlineLevel="3">
      <c r="A495" s="164" t="s">
        <v>17</v>
      </c>
      <c r="B495" s="163" t="s">
        <v>505</v>
      </c>
      <c r="C495" s="163" t="s">
        <v>10</v>
      </c>
      <c r="D495" s="163" t="s">
        <v>143</v>
      </c>
      <c r="E495" s="163" t="s">
        <v>18</v>
      </c>
      <c r="F495" s="184">
        <v>180000</v>
      </c>
      <c r="G495" s="184"/>
      <c r="H495" s="167"/>
      <c r="I495" s="182"/>
      <c r="J495" s="216">
        <f t="shared" si="354"/>
        <v>0</v>
      </c>
      <c r="K495" s="216"/>
      <c r="L495" s="182"/>
    </row>
    <row r="496" spans="1:12" ht="69.599999999999994" outlineLevel="3">
      <c r="A496" s="191" t="s">
        <v>550</v>
      </c>
      <c r="B496" s="192" t="s">
        <v>540</v>
      </c>
      <c r="C496" s="192" t="s">
        <v>5</v>
      </c>
      <c r="D496" s="192" t="s">
        <v>126</v>
      </c>
      <c r="E496" s="193" t="s">
        <v>6</v>
      </c>
      <c r="F496" s="215">
        <f>F497+F636+F652</f>
        <v>579320836.61000001</v>
      </c>
      <c r="G496" s="215">
        <f>G497+G636+G652</f>
        <v>503695320.33000004</v>
      </c>
      <c r="H496" s="215">
        <f>H497+H636+H652</f>
        <v>598824476.76999998</v>
      </c>
      <c r="I496" s="194">
        <f>I497+I636+I652</f>
        <v>595981202.76999998</v>
      </c>
      <c r="J496" s="216">
        <f t="shared" si="354"/>
        <v>-2843274</v>
      </c>
      <c r="K496" s="216"/>
      <c r="L496" s="194">
        <f>L497+L636+L652</f>
        <v>598381202.76999998</v>
      </c>
    </row>
    <row r="497" spans="1:12" outlineLevel="3">
      <c r="A497" s="196" t="s">
        <v>69</v>
      </c>
      <c r="B497" s="197" t="s">
        <v>540</v>
      </c>
      <c r="C497" s="197" t="s">
        <v>70</v>
      </c>
      <c r="D497" s="197" t="s">
        <v>126</v>
      </c>
      <c r="E497" s="198" t="s">
        <v>6</v>
      </c>
      <c r="F497" s="171">
        <f>F498+F534+F597+F616+F574</f>
        <v>568963597.96000004</v>
      </c>
      <c r="G497" s="171">
        <f>G498+G534+G597+G616+G574</f>
        <v>499158167.33000004</v>
      </c>
      <c r="H497" s="171">
        <f>H498+H534+H597+H616+H574</f>
        <v>593924433.76999998</v>
      </c>
      <c r="I497" s="199">
        <f>I498+I534+I597+I616+I574</f>
        <v>591492133.76999998</v>
      </c>
      <c r="J497" s="216">
        <f t="shared" si="354"/>
        <v>-2432300</v>
      </c>
      <c r="K497" s="216"/>
      <c r="L497" s="199">
        <f>L498+L534+L597+L616+L574</f>
        <v>593892133.76999998</v>
      </c>
    </row>
    <row r="498" spans="1:12" outlineLevel="3">
      <c r="A498" s="164" t="s">
        <v>110</v>
      </c>
      <c r="B498" s="163" t="s">
        <v>540</v>
      </c>
      <c r="C498" s="163" t="s">
        <v>111</v>
      </c>
      <c r="D498" s="163" t="s">
        <v>126</v>
      </c>
      <c r="E498" s="169" t="s">
        <v>6</v>
      </c>
      <c r="F498" s="167">
        <f>F499</f>
        <v>148734725.75999999</v>
      </c>
      <c r="G498" s="167">
        <f t="shared" ref="G498:I499" si="361">G499</f>
        <v>110540713.96000001</v>
      </c>
      <c r="H498" s="167">
        <f t="shared" si="361"/>
        <v>130252405.53</v>
      </c>
      <c r="I498" s="182">
        <f t="shared" si="361"/>
        <v>128934905.53</v>
      </c>
      <c r="J498" s="216">
        <f t="shared" si="354"/>
        <v>-1317500</v>
      </c>
      <c r="K498" s="216"/>
      <c r="L498" s="182">
        <f t="shared" ref="L498:L499" si="362">L499</f>
        <v>131334905.53</v>
      </c>
    </row>
    <row r="499" spans="1:12" ht="72" outlineLevel="3">
      <c r="A499" s="196" t="s">
        <v>395</v>
      </c>
      <c r="B499" s="197" t="s">
        <v>540</v>
      </c>
      <c r="C499" s="197" t="s">
        <v>111</v>
      </c>
      <c r="D499" s="197" t="s">
        <v>138</v>
      </c>
      <c r="E499" s="198" t="s">
        <v>6</v>
      </c>
      <c r="F499" s="171">
        <f>F500</f>
        <v>148734725.75999999</v>
      </c>
      <c r="G499" s="171">
        <f t="shared" si="361"/>
        <v>110540713.96000001</v>
      </c>
      <c r="H499" s="171">
        <f t="shared" si="361"/>
        <v>130252405.53</v>
      </c>
      <c r="I499" s="199">
        <f t="shared" si="361"/>
        <v>128934905.53</v>
      </c>
      <c r="J499" s="216">
        <f t="shared" si="354"/>
        <v>-1317500</v>
      </c>
      <c r="K499" s="216"/>
      <c r="L499" s="199">
        <f t="shared" si="362"/>
        <v>131334905.53</v>
      </c>
    </row>
    <row r="500" spans="1:12" ht="54" outlineLevel="3">
      <c r="A500" s="164" t="s">
        <v>396</v>
      </c>
      <c r="B500" s="163" t="s">
        <v>540</v>
      </c>
      <c r="C500" s="163" t="s">
        <v>111</v>
      </c>
      <c r="D500" s="163" t="s">
        <v>139</v>
      </c>
      <c r="E500" s="169" t="s">
        <v>6</v>
      </c>
      <c r="F500" s="167">
        <f>F501+F508+F530</f>
        <v>148734725.75999999</v>
      </c>
      <c r="G500" s="167">
        <f>G501+G508</f>
        <v>110540713.96000001</v>
      </c>
      <c r="H500" s="167">
        <f>H501+H508</f>
        <v>130252405.53</v>
      </c>
      <c r="I500" s="182">
        <f>I501+I508</f>
        <v>128934905.53</v>
      </c>
      <c r="J500" s="216">
        <f t="shared" si="354"/>
        <v>-1317500</v>
      </c>
      <c r="K500" s="216"/>
      <c r="L500" s="182">
        <f>L501+L508</f>
        <v>131334905.53</v>
      </c>
    </row>
    <row r="501" spans="1:12" ht="54" outlineLevel="3">
      <c r="A501" s="200" t="s">
        <v>202</v>
      </c>
      <c r="B501" s="163" t="s">
        <v>540</v>
      </c>
      <c r="C501" s="163" t="s">
        <v>111</v>
      </c>
      <c r="D501" s="163" t="s">
        <v>219</v>
      </c>
      <c r="E501" s="169" t="s">
        <v>6</v>
      </c>
      <c r="F501" s="167">
        <f>F502+F505</f>
        <v>115607211.8</v>
      </c>
      <c r="G501" s="167">
        <f>G502+G505</f>
        <v>110116110.43000001</v>
      </c>
      <c r="H501" s="167">
        <f>H502+H505</f>
        <v>128030052</v>
      </c>
      <c r="I501" s="182">
        <f>I502+I505</f>
        <v>128030052</v>
      </c>
      <c r="J501" s="216">
        <f t="shared" si="354"/>
        <v>0</v>
      </c>
      <c r="K501" s="216"/>
      <c r="L501" s="182">
        <f>L502+L505</f>
        <v>128030052</v>
      </c>
    </row>
    <row r="502" spans="1:12" s="3" customFormat="1" ht="72">
      <c r="A502" s="164" t="s">
        <v>113</v>
      </c>
      <c r="B502" s="163" t="s">
        <v>540</v>
      </c>
      <c r="C502" s="163" t="s">
        <v>111</v>
      </c>
      <c r="D502" s="163" t="s">
        <v>144</v>
      </c>
      <c r="E502" s="169" t="s">
        <v>6</v>
      </c>
      <c r="F502" s="167">
        <f>F503</f>
        <v>42223522.799999997</v>
      </c>
      <c r="G502" s="167">
        <f t="shared" ref="G502:I503" si="363">G503</f>
        <v>29399094.43</v>
      </c>
      <c r="H502" s="167">
        <f t="shared" si="363"/>
        <v>46802848</v>
      </c>
      <c r="I502" s="182">
        <f t="shared" si="363"/>
        <v>46802848</v>
      </c>
      <c r="J502" s="216">
        <f t="shared" si="354"/>
        <v>0</v>
      </c>
      <c r="K502" s="216"/>
      <c r="L502" s="182">
        <f t="shared" ref="L502:L503" si="364">L503</f>
        <v>46802848</v>
      </c>
    </row>
    <row r="503" spans="1:12" s="3" customFormat="1" ht="54">
      <c r="A503" s="164" t="s">
        <v>37</v>
      </c>
      <c r="B503" s="163" t="s">
        <v>540</v>
      </c>
      <c r="C503" s="163" t="s">
        <v>111</v>
      </c>
      <c r="D503" s="163" t="s">
        <v>144</v>
      </c>
      <c r="E503" s="169" t="s">
        <v>38</v>
      </c>
      <c r="F503" s="167">
        <f>F504</f>
        <v>42223522.799999997</v>
      </c>
      <c r="G503" s="167">
        <f t="shared" si="363"/>
        <v>29399094.43</v>
      </c>
      <c r="H503" s="167">
        <f t="shared" si="363"/>
        <v>46802848</v>
      </c>
      <c r="I503" s="182">
        <f t="shared" si="363"/>
        <v>46802848</v>
      </c>
      <c r="J503" s="216">
        <f t="shared" si="354"/>
        <v>0</v>
      </c>
      <c r="K503" s="216"/>
      <c r="L503" s="182">
        <f t="shared" si="364"/>
        <v>46802848</v>
      </c>
    </row>
    <row r="504" spans="1:12">
      <c r="A504" s="164" t="s">
        <v>74</v>
      </c>
      <c r="B504" s="163" t="s">
        <v>540</v>
      </c>
      <c r="C504" s="163" t="s">
        <v>111</v>
      </c>
      <c r="D504" s="163" t="s">
        <v>144</v>
      </c>
      <c r="E504" s="169" t="s">
        <v>75</v>
      </c>
      <c r="F504" s="184">
        <v>42223522.799999997</v>
      </c>
      <c r="G504" s="184">
        <v>29399094.43</v>
      </c>
      <c r="H504" s="218">
        <v>46802848</v>
      </c>
      <c r="I504" s="204">
        <f>46802848</f>
        <v>46802848</v>
      </c>
      <c r="J504" s="216">
        <f t="shared" si="354"/>
        <v>0</v>
      </c>
      <c r="K504" s="216"/>
      <c r="L504" s="204">
        <f>46802848</f>
        <v>46802848</v>
      </c>
    </row>
    <row r="505" spans="1:12" ht="144">
      <c r="A505" s="200" t="s">
        <v>397</v>
      </c>
      <c r="B505" s="163" t="s">
        <v>540</v>
      </c>
      <c r="C505" s="163" t="s">
        <v>111</v>
      </c>
      <c r="D505" s="163" t="s">
        <v>145</v>
      </c>
      <c r="E505" s="169" t="s">
        <v>6</v>
      </c>
      <c r="F505" s="167">
        <f>F506</f>
        <v>73383689</v>
      </c>
      <c r="G505" s="167">
        <f t="shared" ref="G505:I506" si="365">G506</f>
        <v>80717016</v>
      </c>
      <c r="H505" s="167">
        <f t="shared" si="365"/>
        <v>81227204</v>
      </c>
      <c r="I505" s="182">
        <f t="shared" si="365"/>
        <v>81227204</v>
      </c>
      <c r="J505" s="216">
        <f t="shared" si="354"/>
        <v>0</v>
      </c>
      <c r="K505" s="216"/>
      <c r="L505" s="182">
        <f t="shared" ref="L505:L506" si="366">L506</f>
        <v>81227204</v>
      </c>
    </row>
    <row r="506" spans="1:12" ht="54">
      <c r="A506" s="164" t="s">
        <v>37</v>
      </c>
      <c r="B506" s="163" t="s">
        <v>540</v>
      </c>
      <c r="C506" s="163" t="s">
        <v>111</v>
      </c>
      <c r="D506" s="163" t="s">
        <v>145</v>
      </c>
      <c r="E506" s="169" t="s">
        <v>38</v>
      </c>
      <c r="F506" s="167">
        <f>F507</f>
        <v>73383689</v>
      </c>
      <c r="G506" s="167">
        <f t="shared" si="365"/>
        <v>80717016</v>
      </c>
      <c r="H506" s="167">
        <f t="shared" si="365"/>
        <v>81227204</v>
      </c>
      <c r="I506" s="182">
        <f t="shared" si="365"/>
        <v>81227204</v>
      </c>
      <c r="J506" s="216">
        <f t="shared" si="354"/>
        <v>0</v>
      </c>
      <c r="K506" s="216"/>
      <c r="L506" s="182">
        <f t="shared" si="366"/>
        <v>81227204</v>
      </c>
    </row>
    <row r="507" spans="1:12">
      <c r="A507" s="164" t="s">
        <v>74</v>
      </c>
      <c r="B507" s="163" t="s">
        <v>540</v>
      </c>
      <c r="C507" s="163" t="s">
        <v>111</v>
      </c>
      <c r="D507" s="163" t="s">
        <v>145</v>
      </c>
      <c r="E507" s="169" t="s">
        <v>75</v>
      </c>
      <c r="F507" s="184">
        <v>73383689</v>
      </c>
      <c r="G507" s="184">
        <v>80717016</v>
      </c>
      <c r="H507" s="111">
        <v>81227204</v>
      </c>
      <c r="I507" s="214">
        <v>81227204</v>
      </c>
      <c r="J507" s="216">
        <f t="shared" si="354"/>
        <v>0</v>
      </c>
      <c r="K507" s="216"/>
      <c r="L507" s="214">
        <v>81227204</v>
      </c>
    </row>
    <row r="508" spans="1:12" ht="36">
      <c r="A508" s="200" t="s">
        <v>203</v>
      </c>
      <c r="B508" s="163" t="s">
        <v>540</v>
      </c>
      <c r="C508" s="163" t="s">
        <v>111</v>
      </c>
      <c r="D508" s="163" t="s">
        <v>221</v>
      </c>
      <c r="E508" s="169" t="s">
        <v>6</v>
      </c>
      <c r="F508" s="184">
        <f>F527+F509+F512+F515+F518+F521+F524</f>
        <v>1614889.9</v>
      </c>
      <c r="G508" s="184">
        <f t="shared" ref="G508:I508" si="367">G527+G509+G512+G515+G518+G521+G524</f>
        <v>424603.53</v>
      </c>
      <c r="H508" s="184">
        <f t="shared" si="367"/>
        <v>2222353.5300000003</v>
      </c>
      <c r="I508" s="184">
        <f t="shared" si="367"/>
        <v>904853.53</v>
      </c>
      <c r="J508" s="216">
        <f t="shared" si="354"/>
        <v>-1317500.0000000002</v>
      </c>
      <c r="K508" s="216"/>
      <c r="L508" s="184">
        <f t="shared" ref="L508" si="368">L527+L509+L512+L515+L518+L521+L524</f>
        <v>3304853.5300000003</v>
      </c>
    </row>
    <row r="509" spans="1:12" ht="54">
      <c r="A509" s="164" t="s">
        <v>282</v>
      </c>
      <c r="B509" s="163" t="s">
        <v>540</v>
      </c>
      <c r="C509" s="163" t="s">
        <v>111</v>
      </c>
      <c r="D509" s="163" t="s">
        <v>283</v>
      </c>
      <c r="E509" s="169" t="s">
        <v>6</v>
      </c>
      <c r="F509" s="184">
        <f>F510</f>
        <v>97500</v>
      </c>
      <c r="G509" s="184">
        <f t="shared" ref="G509:I510" si="369">G510</f>
        <v>97500</v>
      </c>
      <c r="H509" s="184">
        <f t="shared" si="369"/>
        <v>97500</v>
      </c>
      <c r="I509" s="195">
        <f t="shared" si="369"/>
        <v>97500</v>
      </c>
      <c r="J509" s="216">
        <f t="shared" si="354"/>
        <v>0</v>
      </c>
      <c r="K509" s="216"/>
      <c r="L509" s="195">
        <f t="shared" ref="L509:L510" si="370">L510</f>
        <v>97500</v>
      </c>
    </row>
    <row r="510" spans="1:12" ht="54">
      <c r="A510" s="164" t="s">
        <v>37</v>
      </c>
      <c r="B510" s="163" t="s">
        <v>540</v>
      </c>
      <c r="C510" s="163" t="s">
        <v>111</v>
      </c>
      <c r="D510" s="163" t="s">
        <v>283</v>
      </c>
      <c r="E510" s="169" t="s">
        <v>38</v>
      </c>
      <c r="F510" s="184">
        <f>F511</f>
        <v>97500</v>
      </c>
      <c r="G510" s="184">
        <f t="shared" si="369"/>
        <v>97500</v>
      </c>
      <c r="H510" s="184">
        <f t="shared" si="369"/>
        <v>97500</v>
      </c>
      <c r="I510" s="195">
        <f t="shared" si="369"/>
        <v>97500</v>
      </c>
      <c r="J510" s="216">
        <f t="shared" si="354"/>
        <v>0</v>
      </c>
      <c r="K510" s="216"/>
      <c r="L510" s="195">
        <f t="shared" si="370"/>
        <v>97500</v>
      </c>
    </row>
    <row r="511" spans="1:12">
      <c r="A511" s="164" t="s">
        <v>74</v>
      </c>
      <c r="B511" s="163" t="s">
        <v>540</v>
      </c>
      <c r="C511" s="163" t="s">
        <v>111</v>
      </c>
      <c r="D511" s="163" t="s">
        <v>283</v>
      </c>
      <c r="E511" s="169" t="s">
        <v>75</v>
      </c>
      <c r="F511" s="184">
        <v>97500</v>
      </c>
      <c r="G511" s="184">
        <v>97500</v>
      </c>
      <c r="H511" s="184">
        <v>97500</v>
      </c>
      <c r="I511" s="195">
        <v>97500</v>
      </c>
      <c r="J511" s="216">
        <f t="shared" si="354"/>
        <v>0</v>
      </c>
      <c r="K511" s="216"/>
      <c r="L511" s="195">
        <v>97500</v>
      </c>
    </row>
    <row r="512" spans="1:12" ht="36">
      <c r="A512" s="164" t="s">
        <v>268</v>
      </c>
      <c r="B512" s="163" t="s">
        <v>540</v>
      </c>
      <c r="C512" s="163" t="s">
        <v>111</v>
      </c>
      <c r="D512" s="163" t="s">
        <v>284</v>
      </c>
      <c r="E512" s="169" t="s">
        <v>6</v>
      </c>
      <c r="F512" s="218">
        <f>F513</f>
        <v>213000</v>
      </c>
      <c r="G512" s="218">
        <f t="shared" ref="G512:I512" si="371">G513</f>
        <v>45000</v>
      </c>
      <c r="H512" s="218">
        <f t="shared" si="371"/>
        <v>152000</v>
      </c>
      <c r="I512" s="218">
        <f t="shared" si="371"/>
        <v>152000</v>
      </c>
      <c r="J512" s="216">
        <f t="shared" si="354"/>
        <v>0</v>
      </c>
      <c r="K512" s="216"/>
      <c r="L512" s="218">
        <f t="shared" ref="L512" si="372">L513</f>
        <v>152000</v>
      </c>
    </row>
    <row r="513" spans="1:12" ht="54">
      <c r="A513" s="164" t="s">
        <v>37</v>
      </c>
      <c r="B513" s="163" t="s">
        <v>540</v>
      </c>
      <c r="C513" s="163" t="s">
        <v>111</v>
      </c>
      <c r="D513" s="163" t="s">
        <v>284</v>
      </c>
      <c r="E513" s="169" t="s">
        <v>38</v>
      </c>
      <c r="F513" s="218">
        <f>F514</f>
        <v>213000</v>
      </c>
      <c r="G513" s="218">
        <f>G514</f>
        <v>45000</v>
      </c>
      <c r="H513" s="218">
        <f>H514</f>
        <v>152000</v>
      </c>
      <c r="I513" s="204">
        <f>I514</f>
        <v>152000</v>
      </c>
      <c r="J513" s="216">
        <f t="shared" si="354"/>
        <v>0</v>
      </c>
      <c r="K513" s="216"/>
      <c r="L513" s="204">
        <f>L514</f>
        <v>152000</v>
      </c>
    </row>
    <row r="514" spans="1:12">
      <c r="A514" s="164" t="s">
        <v>74</v>
      </c>
      <c r="B514" s="163" t="s">
        <v>540</v>
      </c>
      <c r="C514" s="163" t="s">
        <v>111</v>
      </c>
      <c r="D514" s="163" t="s">
        <v>284</v>
      </c>
      <c r="E514" s="169" t="s">
        <v>75</v>
      </c>
      <c r="F514" s="184">
        <v>213000</v>
      </c>
      <c r="G514" s="184">
        <v>45000</v>
      </c>
      <c r="H514" s="184">
        <v>152000</v>
      </c>
      <c r="I514" s="195">
        <v>152000</v>
      </c>
      <c r="J514" s="216">
        <f t="shared" si="354"/>
        <v>0</v>
      </c>
      <c r="K514" s="216"/>
      <c r="L514" s="195">
        <v>152000</v>
      </c>
    </row>
    <row r="515" spans="1:12">
      <c r="A515" s="164" t="s">
        <v>311</v>
      </c>
      <c r="B515" s="163" t="s">
        <v>540</v>
      </c>
      <c r="C515" s="163" t="s">
        <v>111</v>
      </c>
      <c r="D515" s="163" t="s">
        <v>538</v>
      </c>
      <c r="E515" s="163" t="s">
        <v>6</v>
      </c>
      <c r="F515" s="184">
        <f>F516</f>
        <v>422050</v>
      </c>
      <c r="G515" s="184">
        <f t="shared" ref="G515:I515" si="373">G516</f>
        <v>0</v>
      </c>
      <c r="H515" s="184">
        <f t="shared" si="373"/>
        <v>273250</v>
      </c>
      <c r="I515" s="184">
        <f t="shared" si="373"/>
        <v>273250</v>
      </c>
      <c r="J515" s="216">
        <f t="shared" si="354"/>
        <v>0</v>
      </c>
      <c r="K515" s="216"/>
      <c r="L515" s="184">
        <f t="shared" ref="L515:L516" si="374">L516</f>
        <v>273250</v>
      </c>
    </row>
    <row r="516" spans="1:12" ht="54">
      <c r="A516" s="164" t="s">
        <v>37</v>
      </c>
      <c r="B516" s="163" t="s">
        <v>540</v>
      </c>
      <c r="C516" s="163" t="s">
        <v>111</v>
      </c>
      <c r="D516" s="163" t="s">
        <v>538</v>
      </c>
      <c r="E516" s="163" t="s">
        <v>38</v>
      </c>
      <c r="F516" s="184">
        <f>F517</f>
        <v>422050</v>
      </c>
      <c r="G516" s="184">
        <f t="shared" ref="G516:I516" si="375">G517</f>
        <v>0</v>
      </c>
      <c r="H516" s="184">
        <f t="shared" si="375"/>
        <v>273250</v>
      </c>
      <c r="I516" s="184">
        <f t="shared" si="375"/>
        <v>273250</v>
      </c>
      <c r="J516" s="216">
        <f t="shared" si="354"/>
        <v>0</v>
      </c>
      <c r="K516" s="216"/>
      <c r="L516" s="184">
        <f t="shared" si="374"/>
        <v>273250</v>
      </c>
    </row>
    <row r="517" spans="1:12">
      <c r="A517" s="164" t="s">
        <v>74</v>
      </c>
      <c r="B517" s="163" t="s">
        <v>540</v>
      </c>
      <c r="C517" s="163" t="s">
        <v>111</v>
      </c>
      <c r="D517" s="163" t="s">
        <v>538</v>
      </c>
      <c r="E517" s="163" t="s">
        <v>75</v>
      </c>
      <c r="F517" s="184">
        <v>422050</v>
      </c>
      <c r="G517" s="184">
        <v>0</v>
      </c>
      <c r="H517" s="184">
        <v>273250</v>
      </c>
      <c r="I517" s="195">
        <v>273250</v>
      </c>
      <c r="J517" s="216">
        <f t="shared" si="354"/>
        <v>0</v>
      </c>
      <c r="K517" s="216"/>
      <c r="L517" s="195">
        <v>273250</v>
      </c>
    </row>
    <row r="518" spans="1:12" ht="72">
      <c r="A518" s="200" t="s">
        <v>459</v>
      </c>
      <c r="B518" s="163" t="s">
        <v>540</v>
      </c>
      <c r="C518" s="163" t="s">
        <v>111</v>
      </c>
      <c r="D518" s="163" t="s">
        <v>460</v>
      </c>
      <c r="E518" s="163" t="s">
        <v>6</v>
      </c>
      <c r="F518" s="184">
        <f>F519</f>
        <v>126000</v>
      </c>
      <c r="G518" s="184">
        <f t="shared" ref="G518:I519" si="376">G519</f>
        <v>0</v>
      </c>
      <c r="H518" s="184">
        <f t="shared" si="376"/>
        <v>1417500</v>
      </c>
      <c r="I518" s="184">
        <f t="shared" si="376"/>
        <v>100000</v>
      </c>
      <c r="J518" s="216">
        <f t="shared" si="354"/>
        <v>-1317500</v>
      </c>
      <c r="K518" s="216"/>
      <c r="L518" s="184">
        <f t="shared" ref="L518:L519" si="377">L519</f>
        <v>100000</v>
      </c>
    </row>
    <row r="519" spans="1:12" ht="54">
      <c r="A519" s="164" t="s">
        <v>37</v>
      </c>
      <c r="B519" s="163" t="s">
        <v>540</v>
      </c>
      <c r="C519" s="163" t="s">
        <v>111</v>
      </c>
      <c r="D519" s="163" t="s">
        <v>460</v>
      </c>
      <c r="E519" s="163" t="s">
        <v>38</v>
      </c>
      <c r="F519" s="184">
        <f>F520</f>
        <v>126000</v>
      </c>
      <c r="G519" s="184">
        <f t="shared" si="376"/>
        <v>0</v>
      </c>
      <c r="H519" s="184">
        <f t="shared" si="376"/>
        <v>1417500</v>
      </c>
      <c r="I519" s="184">
        <f t="shared" si="376"/>
        <v>100000</v>
      </c>
      <c r="J519" s="216">
        <f t="shared" si="354"/>
        <v>-1317500</v>
      </c>
      <c r="K519" s="216"/>
      <c r="L519" s="184">
        <f t="shared" si="377"/>
        <v>100000</v>
      </c>
    </row>
    <row r="520" spans="1:12">
      <c r="A520" s="164" t="s">
        <v>74</v>
      </c>
      <c r="B520" s="163" t="s">
        <v>540</v>
      </c>
      <c r="C520" s="163" t="s">
        <v>111</v>
      </c>
      <c r="D520" s="163" t="s">
        <v>460</v>
      </c>
      <c r="E520" s="163" t="s">
        <v>75</v>
      </c>
      <c r="F520" s="184">
        <v>126000</v>
      </c>
      <c r="G520" s="184">
        <v>0</v>
      </c>
      <c r="H520" s="184">
        <v>1417500</v>
      </c>
      <c r="I520" s="195">
        <v>100000</v>
      </c>
      <c r="J520" s="216">
        <f t="shared" si="354"/>
        <v>-1317500</v>
      </c>
      <c r="K520" s="216"/>
      <c r="L520" s="195">
        <v>100000</v>
      </c>
    </row>
    <row r="521" spans="1:12" ht="54">
      <c r="A521" s="164" t="s">
        <v>817</v>
      </c>
      <c r="B521" s="163" t="s">
        <v>540</v>
      </c>
      <c r="C521" s="163" t="s">
        <v>111</v>
      </c>
      <c r="D521" s="163" t="s">
        <v>740</v>
      </c>
      <c r="E521" s="163" t="s">
        <v>6</v>
      </c>
      <c r="F521" s="184">
        <f>F522</f>
        <v>345000</v>
      </c>
      <c r="G521" s="184">
        <f t="shared" ref="G521:I522" si="378">G522</f>
        <v>0</v>
      </c>
      <c r="H521" s="184">
        <f t="shared" si="378"/>
        <v>0</v>
      </c>
      <c r="I521" s="184">
        <f t="shared" si="378"/>
        <v>0</v>
      </c>
      <c r="J521" s="216">
        <f t="shared" si="354"/>
        <v>0</v>
      </c>
      <c r="K521" s="216">
        <v>2400000</v>
      </c>
      <c r="L521" s="184">
        <f t="shared" ref="L521:L522" si="379">L522</f>
        <v>2400000</v>
      </c>
    </row>
    <row r="522" spans="1:12" ht="54">
      <c r="A522" s="164" t="s">
        <v>37</v>
      </c>
      <c r="B522" s="163" t="s">
        <v>540</v>
      </c>
      <c r="C522" s="163" t="s">
        <v>111</v>
      </c>
      <c r="D522" s="163" t="s">
        <v>740</v>
      </c>
      <c r="E522" s="163" t="s">
        <v>38</v>
      </c>
      <c r="F522" s="184">
        <f>F523</f>
        <v>345000</v>
      </c>
      <c r="G522" s="184">
        <f t="shared" si="378"/>
        <v>0</v>
      </c>
      <c r="H522" s="184">
        <f t="shared" si="378"/>
        <v>0</v>
      </c>
      <c r="I522" s="184">
        <f t="shared" si="378"/>
        <v>0</v>
      </c>
      <c r="J522" s="216">
        <f t="shared" si="354"/>
        <v>0</v>
      </c>
      <c r="K522" s="216"/>
      <c r="L522" s="184">
        <f t="shared" si="379"/>
        <v>2400000</v>
      </c>
    </row>
    <row r="523" spans="1:12">
      <c r="A523" s="164" t="s">
        <v>74</v>
      </c>
      <c r="B523" s="163" t="s">
        <v>540</v>
      </c>
      <c r="C523" s="163" t="s">
        <v>111</v>
      </c>
      <c r="D523" s="163" t="s">
        <v>740</v>
      </c>
      <c r="E523" s="163" t="s">
        <v>75</v>
      </c>
      <c r="F523" s="184">
        <v>345000</v>
      </c>
      <c r="G523" s="184">
        <v>0</v>
      </c>
      <c r="H523" s="184">
        <v>0</v>
      </c>
      <c r="I523" s="195"/>
      <c r="J523" s="216">
        <f t="shared" si="354"/>
        <v>0</v>
      </c>
      <c r="K523" s="216"/>
      <c r="L523" s="195">
        <v>2400000</v>
      </c>
    </row>
    <row r="524" spans="1:12" ht="126">
      <c r="A524" s="187" t="s">
        <v>600</v>
      </c>
      <c r="B524" s="163" t="s">
        <v>540</v>
      </c>
      <c r="C524" s="163" t="s">
        <v>111</v>
      </c>
      <c r="D524" s="163" t="s">
        <v>601</v>
      </c>
      <c r="E524" s="163" t="s">
        <v>6</v>
      </c>
      <c r="F524" s="184">
        <f>F525</f>
        <v>398999.7</v>
      </c>
      <c r="G524" s="184">
        <f t="shared" ref="G524:I525" si="380">G525</f>
        <v>0</v>
      </c>
      <c r="H524" s="184">
        <f t="shared" si="380"/>
        <v>0</v>
      </c>
      <c r="I524" s="184">
        <f t="shared" si="380"/>
        <v>0</v>
      </c>
      <c r="J524" s="216">
        <f t="shared" si="354"/>
        <v>0</v>
      </c>
      <c r="K524" s="216"/>
      <c r="L524" s="184">
        <f t="shared" ref="L524:L525" si="381">L525</f>
        <v>0</v>
      </c>
    </row>
    <row r="525" spans="1:12" ht="54">
      <c r="A525" s="164" t="s">
        <v>37</v>
      </c>
      <c r="B525" s="163" t="s">
        <v>540</v>
      </c>
      <c r="C525" s="163" t="s">
        <v>111</v>
      </c>
      <c r="D525" s="163" t="s">
        <v>601</v>
      </c>
      <c r="E525" s="163" t="s">
        <v>38</v>
      </c>
      <c r="F525" s="184">
        <f>F526</f>
        <v>398999.7</v>
      </c>
      <c r="G525" s="184">
        <f t="shared" si="380"/>
        <v>0</v>
      </c>
      <c r="H525" s="184">
        <f t="shared" si="380"/>
        <v>0</v>
      </c>
      <c r="I525" s="184">
        <f t="shared" si="380"/>
        <v>0</v>
      </c>
      <c r="J525" s="216">
        <f t="shared" si="354"/>
        <v>0</v>
      </c>
      <c r="K525" s="216"/>
      <c r="L525" s="184">
        <f t="shared" si="381"/>
        <v>0</v>
      </c>
    </row>
    <row r="526" spans="1:12">
      <c r="A526" s="164" t="s">
        <v>74</v>
      </c>
      <c r="B526" s="163" t="s">
        <v>540</v>
      </c>
      <c r="C526" s="163" t="s">
        <v>111</v>
      </c>
      <c r="D526" s="163" t="s">
        <v>601</v>
      </c>
      <c r="E526" s="163" t="s">
        <v>75</v>
      </c>
      <c r="F526" s="184">
        <v>398999.7</v>
      </c>
      <c r="G526" s="184">
        <v>0</v>
      </c>
      <c r="H526" s="184">
        <v>0</v>
      </c>
      <c r="I526" s="195">
        <v>0</v>
      </c>
      <c r="J526" s="216">
        <f t="shared" si="354"/>
        <v>0</v>
      </c>
      <c r="K526" s="216"/>
      <c r="L526" s="195">
        <v>0</v>
      </c>
    </row>
    <row r="527" spans="1:12" ht="90">
      <c r="A527" s="164" t="s">
        <v>444</v>
      </c>
      <c r="B527" s="163" t="s">
        <v>540</v>
      </c>
      <c r="C527" s="163" t="s">
        <v>111</v>
      </c>
      <c r="D527" s="163" t="s">
        <v>445</v>
      </c>
      <c r="E527" s="169" t="s">
        <v>6</v>
      </c>
      <c r="F527" s="184">
        <f>F528</f>
        <v>12340.2</v>
      </c>
      <c r="G527" s="218">
        <f t="shared" ref="G527:I528" si="382">G528</f>
        <v>282103.53000000003</v>
      </c>
      <c r="H527" s="218">
        <f t="shared" si="382"/>
        <v>282103.53000000003</v>
      </c>
      <c r="I527" s="204">
        <f t="shared" si="382"/>
        <v>282103.53000000003</v>
      </c>
      <c r="J527" s="216">
        <f t="shared" si="354"/>
        <v>0</v>
      </c>
      <c r="K527" s="216"/>
      <c r="L527" s="204">
        <f t="shared" ref="L527:L528" si="383">L528</f>
        <v>282103.53000000003</v>
      </c>
    </row>
    <row r="528" spans="1:12" ht="54">
      <c r="A528" s="164" t="s">
        <v>37</v>
      </c>
      <c r="B528" s="163" t="s">
        <v>540</v>
      </c>
      <c r="C528" s="163" t="s">
        <v>111</v>
      </c>
      <c r="D528" s="163" t="s">
        <v>445</v>
      </c>
      <c r="E528" s="169" t="s">
        <v>38</v>
      </c>
      <c r="F528" s="184">
        <f>F529</f>
        <v>12340.2</v>
      </c>
      <c r="G528" s="218">
        <f t="shared" si="382"/>
        <v>282103.53000000003</v>
      </c>
      <c r="H528" s="218">
        <f t="shared" si="382"/>
        <v>282103.53000000003</v>
      </c>
      <c r="I528" s="204">
        <f t="shared" si="382"/>
        <v>282103.53000000003</v>
      </c>
      <c r="J528" s="216">
        <f t="shared" si="354"/>
        <v>0</v>
      </c>
      <c r="K528" s="216"/>
      <c r="L528" s="204">
        <f t="shared" si="383"/>
        <v>282103.53000000003</v>
      </c>
    </row>
    <row r="529" spans="1:12">
      <c r="A529" s="164" t="s">
        <v>74</v>
      </c>
      <c r="B529" s="163" t="s">
        <v>540</v>
      </c>
      <c r="C529" s="163" t="s">
        <v>111</v>
      </c>
      <c r="D529" s="163" t="s">
        <v>445</v>
      </c>
      <c r="E529" s="169" t="s">
        <v>75</v>
      </c>
      <c r="F529" s="184">
        <v>12340.2</v>
      </c>
      <c r="G529" s="184">
        <v>282103.53000000003</v>
      </c>
      <c r="H529" s="184">
        <v>282103.53000000003</v>
      </c>
      <c r="I529" s="195">
        <v>282103.53000000003</v>
      </c>
      <c r="J529" s="216">
        <f t="shared" si="354"/>
        <v>0</v>
      </c>
      <c r="K529" s="216"/>
      <c r="L529" s="195">
        <v>282103.53000000003</v>
      </c>
    </row>
    <row r="530" spans="1:12" ht="72">
      <c r="A530" s="201" t="s">
        <v>602</v>
      </c>
      <c r="B530" s="163" t="s">
        <v>540</v>
      </c>
      <c r="C530" s="163" t="s">
        <v>111</v>
      </c>
      <c r="D530" s="163" t="s">
        <v>603</v>
      </c>
      <c r="E530" s="163" t="s">
        <v>6</v>
      </c>
      <c r="F530" s="184">
        <f>F531</f>
        <v>31512624.059999999</v>
      </c>
      <c r="G530" s="184">
        <f t="shared" ref="G530:I532" si="384">G531</f>
        <v>0</v>
      </c>
      <c r="H530" s="184">
        <f t="shared" si="384"/>
        <v>0</v>
      </c>
      <c r="I530" s="184">
        <f t="shared" si="384"/>
        <v>0</v>
      </c>
      <c r="J530" s="216">
        <f t="shared" si="354"/>
        <v>0</v>
      </c>
      <c r="K530" s="216"/>
      <c r="L530" s="184">
        <f t="shared" ref="L530:L532" si="385">L531</f>
        <v>0</v>
      </c>
    </row>
    <row r="531" spans="1:12" ht="144">
      <c r="A531" s="200" t="s">
        <v>567</v>
      </c>
      <c r="B531" s="163" t="s">
        <v>540</v>
      </c>
      <c r="C531" s="163" t="s">
        <v>111</v>
      </c>
      <c r="D531" s="163" t="s">
        <v>686</v>
      </c>
      <c r="E531" s="163" t="s">
        <v>6</v>
      </c>
      <c r="F531" s="184">
        <f>F532</f>
        <v>31512624.059999999</v>
      </c>
      <c r="G531" s="184">
        <f t="shared" si="384"/>
        <v>0</v>
      </c>
      <c r="H531" s="184">
        <f t="shared" si="384"/>
        <v>0</v>
      </c>
      <c r="I531" s="184">
        <f t="shared" si="384"/>
        <v>0</v>
      </c>
      <c r="J531" s="216">
        <f t="shared" si="354"/>
        <v>0</v>
      </c>
      <c r="K531" s="216"/>
      <c r="L531" s="184">
        <f t="shared" si="385"/>
        <v>0</v>
      </c>
    </row>
    <row r="532" spans="1:12" ht="54">
      <c r="A532" s="164" t="s">
        <v>264</v>
      </c>
      <c r="B532" s="163" t="s">
        <v>540</v>
      </c>
      <c r="C532" s="163" t="s">
        <v>111</v>
      </c>
      <c r="D532" s="163" t="s">
        <v>686</v>
      </c>
      <c r="E532" s="163" t="s">
        <v>265</v>
      </c>
      <c r="F532" s="184">
        <f>F533</f>
        <v>31512624.059999999</v>
      </c>
      <c r="G532" s="184">
        <f t="shared" si="384"/>
        <v>0</v>
      </c>
      <c r="H532" s="184">
        <f t="shared" si="384"/>
        <v>0</v>
      </c>
      <c r="I532" s="184">
        <f t="shared" si="384"/>
        <v>0</v>
      </c>
      <c r="J532" s="216">
        <f t="shared" si="354"/>
        <v>0</v>
      </c>
      <c r="K532" s="216"/>
      <c r="L532" s="184">
        <f t="shared" si="385"/>
        <v>0</v>
      </c>
    </row>
    <row r="533" spans="1:12">
      <c r="A533" s="164" t="s">
        <v>266</v>
      </c>
      <c r="B533" s="163" t="s">
        <v>540</v>
      </c>
      <c r="C533" s="163" t="s">
        <v>111</v>
      </c>
      <c r="D533" s="163" t="s">
        <v>686</v>
      </c>
      <c r="E533" s="163" t="s">
        <v>267</v>
      </c>
      <c r="F533" s="184">
        <v>31512624.059999999</v>
      </c>
      <c r="G533" s="184">
        <v>0</v>
      </c>
      <c r="H533" s="184">
        <v>0</v>
      </c>
      <c r="I533" s="195">
        <v>0</v>
      </c>
      <c r="J533" s="216">
        <f t="shared" si="354"/>
        <v>0</v>
      </c>
      <c r="K533" s="216"/>
      <c r="L533" s="195">
        <v>0</v>
      </c>
    </row>
    <row r="534" spans="1:12">
      <c r="A534" s="164" t="s">
        <v>71</v>
      </c>
      <c r="B534" s="163" t="s">
        <v>540</v>
      </c>
      <c r="C534" s="163" t="s">
        <v>72</v>
      </c>
      <c r="D534" s="163" t="s">
        <v>126</v>
      </c>
      <c r="E534" s="169" t="s">
        <v>6</v>
      </c>
      <c r="F534" s="167">
        <f>F535</f>
        <v>373623920.69999999</v>
      </c>
      <c r="G534" s="167">
        <f t="shared" ref="G534:I535" si="386">G535</f>
        <v>349776745.52000004</v>
      </c>
      <c r="H534" s="167">
        <f t="shared" si="386"/>
        <v>413237268.24000001</v>
      </c>
      <c r="I534" s="182">
        <f t="shared" si="386"/>
        <v>412412468.24000001</v>
      </c>
      <c r="J534" s="216">
        <f t="shared" si="354"/>
        <v>-824800</v>
      </c>
      <c r="K534" s="216"/>
      <c r="L534" s="182">
        <f t="shared" ref="L534:L535" si="387">L535</f>
        <v>412412468.24000001</v>
      </c>
    </row>
    <row r="535" spans="1:12" ht="72">
      <c r="A535" s="196" t="s">
        <v>395</v>
      </c>
      <c r="B535" s="197" t="s">
        <v>540</v>
      </c>
      <c r="C535" s="197" t="s">
        <v>72</v>
      </c>
      <c r="D535" s="197" t="s">
        <v>138</v>
      </c>
      <c r="E535" s="198" t="s">
        <v>6</v>
      </c>
      <c r="F535" s="171">
        <f>F536</f>
        <v>373623920.69999999</v>
      </c>
      <c r="G535" s="171">
        <f t="shared" si="386"/>
        <v>349776745.52000004</v>
      </c>
      <c r="H535" s="171">
        <f t="shared" si="386"/>
        <v>413237268.24000001</v>
      </c>
      <c r="I535" s="199">
        <f t="shared" si="386"/>
        <v>412412468.24000001</v>
      </c>
      <c r="J535" s="216">
        <f t="shared" si="354"/>
        <v>-824800</v>
      </c>
      <c r="K535" s="216"/>
      <c r="L535" s="199">
        <f t="shared" si="387"/>
        <v>412412468.24000001</v>
      </c>
    </row>
    <row r="536" spans="1:12" ht="54">
      <c r="A536" s="164" t="s">
        <v>399</v>
      </c>
      <c r="B536" s="163" t="s">
        <v>540</v>
      </c>
      <c r="C536" s="163" t="s">
        <v>72</v>
      </c>
      <c r="D536" s="163" t="s">
        <v>146</v>
      </c>
      <c r="E536" s="169" t="s">
        <v>6</v>
      </c>
      <c r="F536" s="167">
        <f>F537+F550+F566+F570</f>
        <v>373623920.69999999</v>
      </c>
      <c r="G536" s="167">
        <f>G537+G550+G566+G570</f>
        <v>349776745.52000004</v>
      </c>
      <c r="H536" s="167">
        <f>H537+H550+H566+H570</f>
        <v>413237268.24000001</v>
      </c>
      <c r="I536" s="182">
        <f>I537+I550+I566+I570</f>
        <v>412412468.24000001</v>
      </c>
      <c r="J536" s="216">
        <f t="shared" si="354"/>
        <v>-824800</v>
      </c>
      <c r="K536" s="216"/>
      <c r="L536" s="182">
        <f>L537+L550+L566+L570</f>
        <v>412412468.24000001</v>
      </c>
    </row>
    <row r="537" spans="1:12" ht="72">
      <c r="A537" s="200" t="s">
        <v>205</v>
      </c>
      <c r="B537" s="163" t="s">
        <v>540</v>
      </c>
      <c r="C537" s="163" t="s">
        <v>72</v>
      </c>
      <c r="D537" s="163" t="s">
        <v>222</v>
      </c>
      <c r="E537" s="169" t="s">
        <v>6</v>
      </c>
      <c r="F537" s="167">
        <f>F538+F541+F544+F547</f>
        <v>353473815.50999999</v>
      </c>
      <c r="G537" s="167">
        <f>G538+G541+G544+G547</f>
        <v>339456112.73000002</v>
      </c>
      <c r="H537" s="167">
        <f>H538+H541+H544+H547</f>
        <v>367898028.19999999</v>
      </c>
      <c r="I537" s="182">
        <f>I538+I541+I544+I547</f>
        <v>367898028.19999999</v>
      </c>
      <c r="J537" s="216">
        <f t="shared" si="354"/>
        <v>0</v>
      </c>
      <c r="K537" s="216"/>
      <c r="L537" s="182">
        <f>L538+L541+L544+L547</f>
        <v>367898028.19999999</v>
      </c>
    </row>
    <row r="538" spans="1:12" ht="90">
      <c r="A538" s="33" t="s">
        <v>604</v>
      </c>
      <c r="B538" s="163" t="s">
        <v>540</v>
      </c>
      <c r="C538" s="163" t="s">
        <v>72</v>
      </c>
      <c r="D538" s="163" t="s">
        <v>605</v>
      </c>
      <c r="E538" s="169" t="s">
        <v>6</v>
      </c>
      <c r="F538" s="167">
        <f>F539</f>
        <v>20592000</v>
      </c>
      <c r="G538" s="167">
        <f t="shared" ref="G538:I539" si="388">G539</f>
        <v>20592000</v>
      </c>
      <c r="H538" s="167">
        <f t="shared" si="388"/>
        <v>20475000</v>
      </c>
      <c r="I538" s="182">
        <f t="shared" si="388"/>
        <v>20475000</v>
      </c>
      <c r="J538" s="216">
        <f t="shared" si="354"/>
        <v>0</v>
      </c>
      <c r="K538" s="216"/>
      <c r="L538" s="182">
        <f t="shared" ref="L538:L539" si="389">L539</f>
        <v>20475000</v>
      </c>
    </row>
    <row r="539" spans="1:12" ht="54">
      <c r="A539" s="164" t="s">
        <v>37</v>
      </c>
      <c r="B539" s="163" t="s">
        <v>540</v>
      </c>
      <c r="C539" s="163" t="s">
        <v>72</v>
      </c>
      <c r="D539" s="163" t="s">
        <v>605</v>
      </c>
      <c r="E539" s="169" t="s">
        <v>38</v>
      </c>
      <c r="F539" s="167">
        <f>F540</f>
        <v>20592000</v>
      </c>
      <c r="G539" s="167">
        <f t="shared" si="388"/>
        <v>20592000</v>
      </c>
      <c r="H539" s="167">
        <f t="shared" si="388"/>
        <v>20475000</v>
      </c>
      <c r="I539" s="182">
        <f t="shared" si="388"/>
        <v>20475000</v>
      </c>
      <c r="J539" s="216">
        <f t="shared" si="354"/>
        <v>0</v>
      </c>
      <c r="K539" s="216"/>
      <c r="L539" s="182">
        <f t="shared" si="389"/>
        <v>20475000</v>
      </c>
    </row>
    <row r="540" spans="1:12">
      <c r="A540" s="164" t="s">
        <v>74</v>
      </c>
      <c r="B540" s="163" t="s">
        <v>540</v>
      </c>
      <c r="C540" s="163" t="s">
        <v>72</v>
      </c>
      <c r="D540" s="163" t="s">
        <v>605</v>
      </c>
      <c r="E540" s="169" t="s">
        <v>75</v>
      </c>
      <c r="F540" s="167">
        <v>20592000</v>
      </c>
      <c r="G540" s="167">
        <v>20592000</v>
      </c>
      <c r="H540" s="167">
        <v>20475000</v>
      </c>
      <c r="I540" s="182">
        <v>20475000</v>
      </c>
      <c r="J540" s="216">
        <f t="shared" si="354"/>
        <v>0</v>
      </c>
      <c r="K540" s="216"/>
      <c r="L540" s="182">
        <v>20475000</v>
      </c>
    </row>
    <row r="541" spans="1:12" ht="72">
      <c r="A541" s="164" t="s">
        <v>114</v>
      </c>
      <c r="B541" s="163" t="s">
        <v>540</v>
      </c>
      <c r="C541" s="163" t="s">
        <v>72</v>
      </c>
      <c r="D541" s="163" t="s">
        <v>147</v>
      </c>
      <c r="E541" s="169" t="s">
        <v>6</v>
      </c>
      <c r="F541" s="167">
        <f>F542</f>
        <v>93443682.510000005</v>
      </c>
      <c r="G541" s="167">
        <f t="shared" ref="G541:I542" si="390">G542</f>
        <v>59313947.729999997</v>
      </c>
      <c r="H541" s="167">
        <f t="shared" si="390"/>
        <v>97603413</v>
      </c>
      <c r="I541" s="182">
        <f t="shared" si="390"/>
        <v>97603413</v>
      </c>
      <c r="J541" s="216">
        <f t="shared" si="354"/>
        <v>0</v>
      </c>
      <c r="K541" s="216"/>
      <c r="L541" s="182">
        <f t="shared" ref="L541:L542" si="391">L542</f>
        <v>97603413</v>
      </c>
    </row>
    <row r="542" spans="1:12" ht="54">
      <c r="A542" s="164" t="s">
        <v>37</v>
      </c>
      <c r="B542" s="163" t="s">
        <v>540</v>
      </c>
      <c r="C542" s="163" t="s">
        <v>72</v>
      </c>
      <c r="D542" s="163" t="s">
        <v>147</v>
      </c>
      <c r="E542" s="169" t="s">
        <v>38</v>
      </c>
      <c r="F542" s="167">
        <f>F543</f>
        <v>93443682.510000005</v>
      </c>
      <c r="G542" s="167">
        <f t="shared" si="390"/>
        <v>59313947.729999997</v>
      </c>
      <c r="H542" s="167">
        <f t="shared" si="390"/>
        <v>97603413</v>
      </c>
      <c r="I542" s="182">
        <f t="shared" si="390"/>
        <v>97603413</v>
      </c>
      <c r="J542" s="216">
        <f t="shared" si="354"/>
        <v>0</v>
      </c>
      <c r="K542" s="216"/>
      <c r="L542" s="182">
        <f t="shared" si="391"/>
        <v>97603413</v>
      </c>
    </row>
    <row r="543" spans="1:12">
      <c r="A543" s="164" t="s">
        <v>74</v>
      </c>
      <c r="B543" s="163" t="s">
        <v>540</v>
      </c>
      <c r="C543" s="163" t="s">
        <v>72</v>
      </c>
      <c r="D543" s="163" t="s">
        <v>147</v>
      </c>
      <c r="E543" s="169" t="s">
        <v>75</v>
      </c>
      <c r="F543" s="184">
        <v>93443682.510000005</v>
      </c>
      <c r="G543" s="184">
        <v>59313947.729999997</v>
      </c>
      <c r="H543" s="111">
        <v>97603413</v>
      </c>
      <c r="I543" s="214">
        <v>97603413</v>
      </c>
      <c r="J543" s="216">
        <f t="shared" si="354"/>
        <v>0</v>
      </c>
      <c r="K543" s="216"/>
      <c r="L543" s="214">
        <v>97603413</v>
      </c>
    </row>
    <row r="544" spans="1:12" ht="94.65" customHeight="1">
      <c r="A544" s="200" t="s">
        <v>400</v>
      </c>
      <c r="B544" s="163" t="s">
        <v>540</v>
      </c>
      <c r="C544" s="163" t="s">
        <v>72</v>
      </c>
      <c r="D544" s="163" t="s">
        <v>148</v>
      </c>
      <c r="E544" s="169" t="s">
        <v>6</v>
      </c>
      <c r="F544" s="167">
        <f>F545</f>
        <v>228323533</v>
      </c>
      <c r="G544" s="167">
        <f t="shared" ref="G544:I545" si="392">G545</f>
        <v>248435565</v>
      </c>
      <c r="H544" s="167">
        <f t="shared" si="392"/>
        <v>238943015.19999999</v>
      </c>
      <c r="I544" s="182">
        <f t="shared" si="392"/>
        <v>238943015.19999999</v>
      </c>
      <c r="J544" s="216">
        <f t="shared" si="354"/>
        <v>0</v>
      </c>
      <c r="K544" s="216"/>
      <c r="L544" s="182">
        <f t="shared" ref="L544:L545" si="393">L545</f>
        <v>238943015.19999999</v>
      </c>
    </row>
    <row r="545" spans="1:12" ht="54">
      <c r="A545" s="164" t="s">
        <v>37</v>
      </c>
      <c r="B545" s="163" t="s">
        <v>540</v>
      </c>
      <c r="C545" s="163" t="s">
        <v>72</v>
      </c>
      <c r="D545" s="163" t="s">
        <v>148</v>
      </c>
      <c r="E545" s="169" t="s">
        <v>38</v>
      </c>
      <c r="F545" s="167">
        <f>F546</f>
        <v>228323533</v>
      </c>
      <c r="G545" s="167">
        <f t="shared" si="392"/>
        <v>248435565</v>
      </c>
      <c r="H545" s="167">
        <f t="shared" si="392"/>
        <v>238943015.19999999</v>
      </c>
      <c r="I545" s="182">
        <f t="shared" si="392"/>
        <v>238943015.19999999</v>
      </c>
      <c r="J545" s="216">
        <f t="shared" si="354"/>
        <v>0</v>
      </c>
      <c r="K545" s="216"/>
      <c r="L545" s="182">
        <f t="shared" si="393"/>
        <v>238943015.19999999</v>
      </c>
    </row>
    <row r="546" spans="1:12">
      <c r="A546" s="164" t="s">
        <v>74</v>
      </c>
      <c r="B546" s="163" t="s">
        <v>540</v>
      </c>
      <c r="C546" s="163" t="s">
        <v>72</v>
      </c>
      <c r="D546" s="163" t="s">
        <v>148</v>
      </c>
      <c r="E546" s="169" t="s">
        <v>75</v>
      </c>
      <c r="F546" s="184">
        <v>228323533</v>
      </c>
      <c r="G546" s="184">
        <v>248435565</v>
      </c>
      <c r="H546" s="184">
        <v>238943015.19999999</v>
      </c>
      <c r="I546" s="195">
        <v>238943015.19999999</v>
      </c>
      <c r="J546" s="216">
        <f t="shared" si="354"/>
        <v>0</v>
      </c>
      <c r="K546" s="216"/>
      <c r="L546" s="195">
        <v>238943015.19999999</v>
      </c>
    </row>
    <row r="547" spans="1:12" ht="180">
      <c r="A547" s="33" t="s">
        <v>471</v>
      </c>
      <c r="B547" s="163" t="s">
        <v>540</v>
      </c>
      <c r="C547" s="163" t="s">
        <v>72</v>
      </c>
      <c r="D547" s="163" t="s">
        <v>472</v>
      </c>
      <c r="E547" s="169" t="s">
        <v>6</v>
      </c>
      <c r="F547" s="184">
        <f>F548</f>
        <v>11114600</v>
      </c>
      <c r="G547" s="184">
        <f t="shared" ref="G547:I548" si="394">G548</f>
        <v>11114600</v>
      </c>
      <c r="H547" s="184">
        <f t="shared" si="394"/>
        <v>10876600</v>
      </c>
      <c r="I547" s="195">
        <f t="shared" si="394"/>
        <v>10876600</v>
      </c>
      <c r="J547" s="216">
        <f t="shared" si="354"/>
        <v>0</v>
      </c>
      <c r="K547" s="216"/>
      <c r="L547" s="195">
        <f t="shared" ref="L547:L548" si="395">L548</f>
        <v>10876600</v>
      </c>
    </row>
    <row r="548" spans="1:12" ht="54">
      <c r="A548" s="164" t="s">
        <v>37</v>
      </c>
      <c r="B548" s="163" t="s">
        <v>540</v>
      </c>
      <c r="C548" s="163" t="s">
        <v>72</v>
      </c>
      <c r="D548" s="163" t="s">
        <v>472</v>
      </c>
      <c r="E548" s="169" t="s">
        <v>38</v>
      </c>
      <c r="F548" s="184">
        <f>F549</f>
        <v>11114600</v>
      </c>
      <c r="G548" s="184">
        <f t="shared" si="394"/>
        <v>11114600</v>
      </c>
      <c r="H548" s="184">
        <f t="shared" si="394"/>
        <v>10876600</v>
      </c>
      <c r="I548" s="195">
        <f t="shared" si="394"/>
        <v>10876600</v>
      </c>
      <c r="J548" s="216">
        <f t="shared" si="354"/>
        <v>0</v>
      </c>
      <c r="K548" s="216"/>
      <c r="L548" s="195">
        <f t="shared" si="395"/>
        <v>10876600</v>
      </c>
    </row>
    <row r="549" spans="1:12">
      <c r="A549" s="164" t="s">
        <v>74</v>
      </c>
      <c r="B549" s="163" t="s">
        <v>540</v>
      </c>
      <c r="C549" s="163" t="s">
        <v>72</v>
      </c>
      <c r="D549" s="163" t="s">
        <v>472</v>
      </c>
      <c r="E549" s="169" t="s">
        <v>75</v>
      </c>
      <c r="F549" s="184">
        <v>11114600</v>
      </c>
      <c r="G549" s="184">
        <v>11114600</v>
      </c>
      <c r="H549" s="184">
        <v>10876600</v>
      </c>
      <c r="I549" s="195">
        <v>10876600</v>
      </c>
      <c r="J549" s="216">
        <f t="shared" si="354"/>
        <v>0</v>
      </c>
      <c r="K549" s="216"/>
      <c r="L549" s="195">
        <v>10876600</v>
      </c>
    </row>
    <row r="550" spans="1:12" ht="36">
      <c r="A550" s="200" t="s">
        <v>206</v>
      </c>
      <c r="B550" s="163" t="s">
        <v>540</v>
      </c>
      <c r="C550" s="163" t="s">
        <v>72</v>
      </c>
      <c r="D550" s="163" t="s">
        <v>220</v>
      </c>
      <c r="E550" s="169" t="s">
        <v>6</v>
      </c>
      <c r="F550" s="184">
        <f>F563+F551+F554+F557+F560</f>
        <v>10756745.42</v>
      </c>
      <c r="G550" s="184">
        <f t="shared" ref="G550:I550" si="396">G563+G551+G554+G557+G560</f>
        <v>1830963.37</v>
      </c>
      <c r="H550" s="184">
        <f t="shared" si="396"/>
        <v>39221790.039999999</v>
      </c>
      <c r="I550" s="184">
        <f t="shared" si="396"/>
        <v>38396990.039999999</v>
      </c>
      <c r="J550" s="216">
        <f t="shared" si="354"/>
        <v>-824800</v>
      </c>
      <c r="K550" s="216"/>
      <c r="L550" s="184">
        <f t="shared" ref="L550" si="397">L563+L551+L554+L557+L560</f>
        <v>38396990.039999999</v>
      </c>
    </row>
    <row r="551" spans="1:12" ht="36">
      <c r="A551" s="164" t="s">
        <v>268</v>
      </c>
      <c r="B551" s="163" t="s">
        <v>540</v>
      </c>
      <c r="C551" s="163" t="s">
        <v>72</v>
      </c>
      <c r="D551" s="163" t="s">
        <v>269</v>
      </c>
      <c r="E551" s="169" t="s">
        <v>6</v>
      </c>
      <c r="F551" s="218">
        <f>F552</f>
        <v>277700</v>
      </c>
      <c r="G551" s="218">
        <f t="shared" ref="G551:I552" si="398">G552</f>
        <v>50000</v>
      </c>
      <c r="H551" s="218">
        <f t="shared" si="398"/>
        <v>212800</v>
      </c>
      <c r="I551" s="204">
        <f t="shared" si="398"/>
        <v>212800</v>
      </c>
      <c r="J551" s="216">
        <f t="shared" si="354"/>
        <v>0</v>
      </c>
      <c r="K551" s="216"/>
      <c r="L551" s="204">
        <f t="shared" ref="L551:L552" si="399">L552</f>
        <v>212800</v>
      </c>
    </row>
    <row r="552" spans="1:12" ht="54">
      <c r="A552" s="164" t="s">
        <v>37</v>
      </c>
      <c r="B552" s="163" t="s">
        <v>540</v>
      </c>
      <c r="C552" s="163" t="s">
        <v>72</v>
      </c>
      <c r="D552" s="163" t="s">
        <v>269</v>
      </c>
      <c r="E552" s="169" t="s">
        <v>38</v>
      </c>
      <c r="F552" s="218">
        <f>F553</f>
        <v>277700</v>
      </c>
      <c r="G552" s="218">
        <f t="shared" si="398"/>
        <v>50000</v>
      </c>
      <c r="H552" s="218">
        <f t="shared" si="398"/>
        <v>212800</v>
      </c>
      <c r="I552" s="204">
        <f t="shared" si="398"/>
        <v>212800</v>
      </c>
      <c r="J552" s="216">
        <f t="shared" ref="J552:J615" si="400">I552-H552</f>
        <v>0</v>
      </c>
      <c r="K552" s="216"/>
      <c r="L552" s="204">
        <f t="shared" si="399"/>
        <v>212800</v>
      </c>
    </row>
    <row r="553" spans="1:12">
      <c r="A553" s="164" t="s">
        <v>74</v>
      </c>
      <c r="B553" s="163" t="s">
        <v>540</v>
      </c>
      <c r="C553" s="163" t="s">
        <v>72</v>
      </c>
      <c r="D553" s="163" t="s">
        <v>269</v>
      </c>
      <c r="E553" s="169" t="s">
        <v>75</v>
      </c>
      <c r="F553" s="184">
        <v>277700</v>
      </c>
      <c r="G553" s="184">
        <v>50000</v>
      </c>
      <c r="H553" s="184">
        <v>212800</v>
      </c>
      <c r="I553" s="195">
        <v>212800</v>
      </c>
      <c r="J553" s="216">
        <f t="shared" si="400"/>
        <v>0</v>
      </c>
      <c r="K553" s="216"/>
      <c r="L553" s="195">
        <v>212800</v>
      </c>
    </row>
    <row r="554" spans="1:12">
      <c r="A554" s="221" t="s">
        <v>311</v>
      </c>
      <c r="B554" s="163" t="s">
        <v>540</v>
      </c>
      <c r="C554" s="163" t="s">
        <v>72</v>
      </c>
      <c r="D554" s="163" t="s">
        <v>312</v>
      </c>
      <c r="E554" s="169" t="s">
        <v>6</v>
      </c>
      <c r="F554" s="218">
        <f>F555</f>
        <v>720000</v>
      </c>
      <c r="G554" s="218">
        <f t="shared" ref="G554:I555" si="401">G555</f>
        <v>50000</v>
      </c>
      <c r="H554" s="218">
        <f t="shared" si="401"/>
        <v>350000</v>
      </c>
      <c r="I554" s="204">
        <f t="shared" si="401"/>
        <v>350000</v>
      </c>
      <c r="J554" s="216">
        <f t="shared" si="400"/>
        <v>0</v>
      </c>
      <c r="K554" s="216"/>
      <c r="L554" s="204">
        <f t="shared" ref="L554:L555" si="402">L555</f>
        <v>350000</v>
      </c>
    </row>
    <row r="555" spans="1:12" ht="54">
      <c r="A555" s="164" t="s">
        <v>37</v>
      </c>
      <c r="B555" s="163" t="s">
        <v>540</v>
      </c>
      <c r="C555" s="163" t="s">
        <v>72</v>
      </c>
      <c r="D555" s="163" t="s">
        <v>312</v>
      </c>
      <c r="E555" s="169" t="s">
        <v>38</v>
      </c>
      <c r="F555" s="218">
        <f>F556</f>
        <v>720000</v>
      </c>
      <c r="G555" s="218">
        <f t="shared" si="401"/>
        <v>50000</v>
      </c>
      <c r="H555" s="218">
        <f t="shared" si="401"/>
        <v>350000</v>
      </c>
      <c r="I555" s="204">
        <f t="shared" si="401"/>
        <v>350000</v>
      </c>
      <c r="J555" s="216">
        <f t="shared" si="400"/>
        <v>0</v>
      </c>
      <c r="K555" s="216"/>
      <c r="L555" s="204">
        <f t="shared" si="402"/>
        <v>350000</v>
      </c>
    </row>
    <row r="556" spans="1:12">
      <c r="A556" s="164" t="s">
        <v>74</v>
      </c>
      <c r="B556" s="163" t="s">
        <v>540</v>
      </c>
      <c r="C556" s="163" t="s">
        <v>72</v>
      </c>
      <c r="D556" s="163" t="s">
        <v>312</v>
      </c>
      <c r="E556" s="169" t="s">
        <v>75</v>
      </c>
      <c r="F556" s="184">
        <v>720000</v>
      </c>
      <c r="G556" s="184">
        <v>50000</v>
      </c>
      <c r="H556" s="184">
        <v>350000</v>
      </c>
      <c r="I556" s="195">
        <v>350000</v>
      </c>
      <c r="J556" s="216">
        <f t="shared" si="400"/>
        <v>0</v>
      </c>
      <c r="K556" s="216"/>
      <c r="L556" s="195">
        <v>350000</v>
      </c>
    </row>
    <row r="557" spans="1:12" ht="72">
      <c r="A557" s="200" t="s">
        <v>459</v>
      </c>
      <c r="B557" s="163" t="s">
        <v>540</v>
      </c>
      <c r="C557" s="163" t="s">
        <v>72</v>
      </c>
      <c r="D557" s="163" t="s">
        <v>734</v>
      </c>
      <c r="E557" s="163" t="s">
        <v>6</v>
      </c>
      <c r="F557" s="184">
        <f>F558</f>
        <v>1879885</v>
      </c>
      <c r="G557" s="184">
        <f t="shared" ref="G557:I558" si="403">G558</f>
        <v>0</v>
      </c>
      <c r="H557" s="184">
        <f t="shared" si="403"/>
        <v>924800</v>
      </c>
      <c r="I557" s="184">
        <f t="shared" si="403"/>
        <v>100000</v>
      </c>
      <c r="J557" s="216">
        <f t="shared" si="400"/>
        <v>-824800</v>
      </c>
      <c r="K557" s="216"/>
      <c r="L557" s="184">
        <f t="shared" ref="L557:L558" si="404">L558</f>
        <v>100000</v>
      </c>
    </row>
    <row r="558" spans="1:12" ht="54">
      <c r="A558" s="164" t="s">
        <v>37</v>
      </c>
      <c r="B558" s="163" t="s">
        <v>540</v>
      </c>
      <c r="C558" s="163" t="s">
        <v>72</v>
      </c>
      <c r="D558" s="163" t="s">
        <v>734</v>
      </c>
      <c r="E558" s="163" t="s">
        <v>38</v>
      </c>
      <c r="F558" s="184">
        <f>F559</f>
        <v>1879885</v>
      </c>
      <c r="G558" s="184">
        <f t="shared" si="403"/>
        <v>0</v>
      </c>
      <c r="H558" s="184">
        <f t="shared" si="403"/>
        <v>924800</v>
      </c>
      <c r="I558" s="184">
        <f t="shared" si="403"/>
        <v>100000</v>
      </c>
      <c r="J558" s="216">
        <f t="shared" si="400"/>
        <v>-824800</v>
      </c>
      <c r="K558" s="216"/>
      <c r="L558" s="184">
        <f t="shared" si="404"/>
        <v>100000</v>
      </c>
    </row>
    <row r="559" spans="1:12">
      <c r="A559" s="164" t="s">
        <v>74</v>
      </c>
      <c r="B559" s="163" t="s">
        <v>540</v>
      </c>
      <c r="C559" s="163" t="s">
        <v>72</v>
      </c>
      <c r="D559" s="163" t="s">
        <v>734</v>
      </c>
      <c r="E559" s="163" t="s">
        <v>75</v>
      </c>
      <c r="F559" s="184">
        <v>1879885</v>
      </c>
      <c r="G559" s="184">
        <v>0</v>
      </c>
      <c r="H559" s="184">
        <v>924800</v>
      </c>
      <c r="I559" s="195">
        <v>100000</v>
      </c>
      <c r="J559" s="216">
        <f t="shared" si="400"/>
        <v>-824800</v>
      </c>
      <c r="K559" s="216"/>
      <c r="L559" s="195">
        <v>100000</v>
      </c>
    </row>
    <row r="560" spans="1:12" ht="90">
      <c r="A560" s="33" t="s">
        <v>606</v>
      </c>
      <c r="B560" s="163" t="s">
        <v>540</v>
      </c>
      <c r="C560" s="163" t="s">
        <v>72</v>
      </c>
      <c r="D560" s="163" t="s">
        <v>607</v>
      </c>
      <c r="E560" s="163" t="s">
        <v>6</v>
      </c>
      <c r="F560" s="184">
        <f>F561</f>
        <v>7642785.4199999999</v>
      </c>
      <c r="G560" s="184">
        <f t="shared" ref="G560:H561" si="405">G561</f>
        <v>0</v>
      </c>
      <c r="H560" s="184">
        <f t="shared" si="405"/>
        <v>36003230.039999999</v>
      </c>
      <c r="I560" s="184">
        <f>I561</f>
        <v>36003230.039999999</v>
      </c>
      <c r="J560" s="216">
        <f t="shared" si="400"/>
        <v>0</v>
      </c>
      <c r="K560" s="216"/>
      <c r="L560" s="184">
        <f>L561</f>
        <v>36003230.039999999</v>
      </c>
    </row>
    <row r="561" spans="1:12" ht="54">
      <c r="A561" s="164" t="s">
        <v>37</v>
      </c>
      <c r="B561" s="163" t="s">
        <v>540</v>
      </c>
      <c r="C561" s="163" t="s">
        <v>72</v>
      </c>
      <c r="D561" s="163" t="s">
        <v>607</v>
      </c>
      <c r="E561" s="163" t="s">
        <v>38</v>
      </c>
      <c r="F561" s="184">
        <f>F562</f>
        <v>7642785.4199999999</v>
      </c>
      <c r="G561" s="184">
        <f t="shared" si="405"/>
        <v>0</v>
      </c>
      <c r="H561" s="184">
        <f t="shared" si="405"/>
        <v>36003230.039999999</v>
      </c>
      <c r="I561" s="184">
        <f t="shared" ref="I561" si="406">I562</f>
        <v>36003230.039999999</v>
      </c>
      <c r="J561" s="216">
        <f t="shared" si="400"/>
        <v>0</v>
      </c>
      <c r="K561" s="216"/>
      <c r="L561" s="184">
        <f t="shared" ref="L561" si="407">L562</f>
        <v>36003230.039999999</v>
      </c>
    </row>
    <row r="562" spans="1:12">
      <c r="A562" s="164" t="s">
        <v>74</v>
      </c>
      <c r="B562" s="163" t="s">
        <v>540</v>
      </c>
      <c r="C562" s="163" t="s">
        <v>72</v>
      </c>
      <c r="D562" s="163" t="s">
        <v>607</v>
      </c>
      <c r="E562" s="163" t="s">
        <v>75</v>
      </c>
      <c r="F562" s="184">
        <v>7642785.4199999999</v>
      </c>
      <c r="G562" s="184">
        <v>0</v>
      </c>
      <c r="H562" s="184">
        <v>36003230.039999999</v>
      </c>
      <c r="I562" s="195">
        <v>36003230.039999999</v>
      </c>
      <c r="J562" s="216">
        <f t="shared" si="400"/>
        <v>0</v>
      </c>
      <c r="K562" s="216"/>
      <c r="L562" s="195">
        <v>36003230.039999999</v>
      </c>
    </row>
    <row r="563" spans="1:12" ht="36">
      <c r="A563" s="164" t="s">
        <v>446</v>
      </c>
      <c r="B563" s="163" t="s">
        <v>540</v>
      </c>
      <c r="C563" s="163" t="s">
        <v>72</v>
      </c>
      <c r="D563" s="163" t="s">
        <v>447</v>
      </c>
      <c r="E563" s="169" t="s">
        <v>6</v>
      </c>
      <c r="F563" s="184">
        <f>F564</f>
        <v>236375</v>
      </c>
      <c r="G563" s="218">
        <f t="shared" ref="G563:I564" si="408">G564</f>
        <v>1730963.37</v>
      </c>
      <c r="H563" s="218">
        <f t="shared" si="408"/>
        <v>1730960</v>
      </c>
      <c r="I563" s="204">
        <f t="shared" si="408"/>
        <v>1730960</v>
      </c>
      <c r="J563" s="216">
        <f t="shared" si="400"/>
        <v>0</v>
      </c>
      <c r="K563" s="216"/>
      <c r="L563" s="204">
        <f t="shared" ref="L563:L564" si="409">L564</f>
        <v>1730960</v>
      </c>
    </row>
    <row r="564" spans="1:12" ht="54">
      <c r="A564" s="164" t="s">
        <v>37</v>
      </c>
      <c r="B564" s="163" t="s">
        <v>540</v>
      </c>
      <c r="C564" s="163" t="s">
        <v>72</v>
      </c>
      <c r="D564" s="163" t="s">
        <v>447</v>
      </c>
      <c r="E564" s="169" t="s">
        <v>38</v>
      </c>
      <c r="F564" s="184">
        <f>F565</f>
        <v>236375</v>
      </c>
      <c r="G564" s="218">
        <f t="shared" si="408"/>
        <v>1730963.37</v>
      </c>
      <c r="H564" s="218">
        <f t="shared" si="408"/>
        <v>1730960</v>
      </c>
      <c r="I564" s="204">
        <f t="shared" si="408"/>
        <v>1730960</v>
      </c>
      <c r="J564" s="216">
        <f t="shared" si="400"/>
        <v>0</v>
      </c>
      <c r="K564" s="216"/>
      <c r="L564" s="204">
        <f t="shared" si="409"/>
        <v>1730960</v>
      </c>
    </row>
    <row r="565" spans="1:12">
      <c r="A565" s="164" t="s">
        <v>74</v>
      </c>
      <c r="B565" s="163" t="s">
        <v>540</v>
      </c>
      <c r="C565" s="163" t="s">
        <v>72</v>
      </c>
      <c r="D565" s="163" t="s">
        <v>447</v>
      </c>
      <c r="E565" s="169" t="s">
        <v>75</v>
      </c>
      <c r="F565" s="184">
        <v>236375</v>
      </c>
      <c r="G565" s="184">
        <f>1765328.55-34365.18</f>
        <v>1730963.37</v>
      </c>
      <c r="H565" s="184">
        <v>1730960</v>
      </c>
      <c r="I565" s="195">
        <v>1730960</v>
      </c>
      <c r="J565" s="216">
        <f t="shared" si="400"/>
        <v>0</v>
      </c>
      <c r="K565" s="216"/>
      <c r="L565" s="195">
        <v>1730960</v>
      </c>
    </row>
    <row r="566" spans="1:12" ht="54">
      <c r="A566" s="200" t="s">
        <v>275</v>
      </c>
      <c r="B566" s="163" t="s">
        <v>540</v>
      </c>
      <c r="C566" s="163" t="s">
        <v>72</v>
      </c>
      <c r="D566" s="163" t="s">
        <v>223</v>
      </c>
      <c r="E566" s="169" t="s">
        <v>6</v>
      </c>
      <c r="F566" s="184">
        <f>F567</f>
        <v>6226250</v>
      </c>
      <c r="G566" s="184">
        <f t="shared" ref="G566:I566" si="410">G567</f>
        <v>6226250</v>
      </c>
      <c r="H566" s="184">
        <f t="shared" si="410"/>
        <v>6117450</v>
      </c>
      <c r="I566" s="184">
        <f t="shared" si="410"/>
        <v>6117450</v>
      </c>
      <c r="J566" s="216">
        <f t="shared" si="400"/>
        <v>0</v>
      </c>
      <c r="K566" s="216"/>
      <c r="L566" s="184">
        <f t="shared" ref="L566:L568" si="411">L567</f>
        <v>6117450</v>
      </c>
    </row>
    <row r="567" spans="1:12" ht="144">
      <c r="A567" s="222" t="s">
        <v>669</v>
      </c>
      <c r="B567" s="163" t="s">
        <v>540</v>
      </c>
      <c r="C567" s="163" t="s">
        <v>72</v>
      </c>
      <c r="D567" s="163" t="s">
        <v>670</v>
      </c>
      <c r="E567" s="169" t="s">
        <v>6</v>
      </c>
      <c r="F567" s="184">
        <f>F568</f>
        <v>6226250</v>
      </c>
      <c r="G567" s="184">
        <f t="shared" ref="G567:I568" si="412">G568</f>
        <v>6226250</v>
      </c>
      <c r="H567" s="184">
        <f t="shared" si="412"/>
        <v>6117450</v>
      </c>
      <c r="I567" s="195">
        <f t="shared" si="412"/>
        <v>6117450</v>
      </c>
      <c r="J567" s="216">
        <f t="shared" si="400"/>
        <v>0</v>
      </c>
      <c r="K567" s="216"/>
      <c r="L567" s="195">
        <f t="shared" si="411"/>
        <v>6117450</v>
      </c>
    </row>
    <row r="568" spans="1:12" ht="54">
      <c r="A568" s="164" t="s">
        <v>37</v>
      </c>
      <c r="B568" s="163" t="s">
        <v>540</v>
      </c>
      <c r="C568" s="163" t="s">
        <v>72</v>
      </c>
      <c r="D568" s="163" t="s">
        <v>670</v>
      </c>
      <c r="E568" s="169" t="s">
        <v>38</v>
      </c>
      <c r="F568" s="184">
        <f>F569</f>
        <v>6226250</v>
      </c>
      <c r="G568" s="184">
        <f t="shared" si="412"/>
        <v>6226250</v>
      </c>
      <c r="H568" s="184">
        <f t="shared" si="412"/>
        <v>6117450</v>
      </c>
      <c r="I568" s="195">
        <f t="shared" si="412"/>
        <v>6117450</v>
      </c>
      <c r="J568" s="216">
        <f t="shared" si="400"/>
        <v>0</v>
      </c>
      <c r="K568" s="216"/>
      <c r="L568" s="195">
        <f t="shared" si="411"/>
        <v>6117450</v>
      </c>
    </row>
    <row r="569" spans="1:12">
      <c r="A569" s="164" t="s">
        <v>74</v>
      </c>
      <c r="B569" s="163" t="s">
        <v>540</v>
      </c>
      <c r="C569" s="163" t="s">
        <v>72</v>
      </c>
      <c r="D569" s="163" t="s">
        <v>670</v>
      </c>
      <c r="E569" s="169" t="s">
        <v>75</v>
      </c>
      <c r="F569" s="184">
        <f>6226250</f>
        <v>6226250</v>
      </c>
      <c r="G569" s="184">
        <v>6226250</v>
      </c>
      <c r="H569" s="184">
        <v>6117450</v>
      </c>
      <c r="I569" s="195">
        <v>6117450</v>
      </c>
      <c r="J569" s="216">
        <f t="shared" si="400"/>
        <v>0</v>
      </c>
      <c r="K569" s="216"/>
      <c r="L569" s="195">
        <v>6117450</v>
      </c>
    </row>
    <row r="570" spans="1:12" ht="36">
      <c r="A570" s="33" t="s">
        <v>469</v>
      </c>
      <c r="B570" s="163" t="s">
        <v>540</v>
      </c>
      <c r="C570" s="163" t="s">
        <v>72</v>
      </c>
      <c r="D570" s="163" t="s">
        <v>313</v>
      </c>
      <c r="E570" s="169" t="s">
        <v>6</v>
      </c>
      <c r="F570" s="184">
        <f>F571</f>
        <v>3167109.77</v>
      </c>
      <c r="G570" s="184">
        <f t="shared" ref="G570:I572" si="413">G571</f>
        <v>2263419.4200000004</v>
      </c>
      <c r="H570" s="184">
        <f t="shared" si="413"/>
        <v>0</v>
      </c>
      <c r="I570" s="195">
        <f t="shared" si="413"/>
        <v>0</v>
      </c>
      <c r="J570" s="216">
        <f t="shared" si="400"/>
        <v>0</v>
      </c>
      <c r="K570" s="216"/>
      <c r="L570" s="195">
        <f t="shared" ref="L570:L572" si="414">L571</f>
        <v>0</v>
      </c>
    </row>
    <row r="571" spans="1:12" ht="72">
      <c r="A571" s="164" t="s">
        <v>470</v>
      </c>
      <c r="B571" s="163" t="s">
        <v>540</v>
      </c>
      <c r="C571" s="163" t="s">
        <v>72</v>
      </c>
      <c r="D571" s="163" t="s">
        <v>665</v>
      </c>
      <c r="E571" s="169" t="s">
        <v>6</v>
      </c>
      <c r="F571" s="184">
        <f>F572</f>
        <v>3167109.77</v>
      </c>
      <c r="G571" s="184">
        <f t="shared" si="413"/>
        <v>2263419.4200000004</v>
      </c>
      <c r="H571" s="184">
        <f t="shared" si="413"/>
        <v>0</v>
      </c>
      <c r="I571" s="195">
        <f t="shared" si="413"/>
        <v>0</v>
      </c>
      <c r="J571" s="216">
        <f t="shared" si="400"/>
        <v>0</v>
      </c>
      <c r="K571" s="216"/>
      <c r="L571" s="195">
        <f t="shared" si="414"/>
        <v>0</v>
      </c>
    </row>
    <row r="572" spans="1:12" ht="54">
      <c r="A572" s="164" t="s">
        <v>37</v>
      </c>
      <c r="B572" s="163" t="s">
        <v>540</v>
      </c>
      <c r="C572" s="163" t="s">
        <v>72</v>
      </c>
      <c r="D572" s="163" t="s">
        <v>665</v>
      </c>
      <c r="E572" s="169" t="s">
        <v>38</v>
      </c>
      <c r="F572" s="184">
        <f>F573</f>
        <v>3167109.77</v>
      </c>
      <c r="G572" s="184">
        <f t="shared" si="413"/>
        <v>2263419.4200000004</v>
      </c>
      <c r="H572" s="184">
        <f t="shared" si="413"/>
        <v>0</v>
      </c>
      <c r="I572" s="195">
        <f t="shared" si="413"/>
        <v>0</v>
      </c>
      <c r="J572" s="216">
        <f t="shared" si="400"/>
        <v>0</v>
      </c>
      <c r="K572" s="216"/>
      <c r="L572" s="195">
        <f t="shared" si="414"/>
        <v>0</v>
      </c>
    </row>
    <row r="573" spans="1:12">
      <c r="A573" s="164" t="s">
        <v>74</v>
      </c>
      <c r="B573" s="163" t="s">
        <v>540</v>
      </c>
      <c r="C573" s="163" t="s">
        <v>72</v>
      </c>
      <c r="D573" s="163" t="s">
        <v>665</v>
      </c>
      <c r="E573" s="169" t="s">
        <v>75</v>
      </c>
      <c r="F573" s="184">
        <v>3167109.77</v>
      </c>
      <c r="G573" s="184">
        <f>2229054.24+34365.18</f>
        <v>2263419.4200000004</v>
      </c>
      <c r="H573" s="184">
        <v>0</v>
      </c>
      <c r="I573" s="195">
        <v>0</v>
      </c>
      <c r="J573" s="216">
        <f t="shared" si="400"/>
        <v>0</v>
      </c>
      <c r="K573" s="216"/>
      <c r="L573" s="195">
        <v>0</v>
      </c>
    </row>
    <row r="574" spans="1:12">
      <c r="A574" s="164" t="s">
        <v>257</v>
      </c>
      <c r="B574" s="163" t="s">
        <v>540</v>
      </c>
      <c r="C574" s="163" t="s">
        <v>256</v>
      </c>
      <c r="D574" s="163" t="s">
        <v>126</v>
      </c>
      <c r="E574" s="169" t="s">
        <v>6</v>
      </c>
      <c r="F574" s="218">
        <f>F575</f>
        <v>23993980</v>
      </c>
      <c r="G574" s="218">
        <f t="shared" ref="G574:I575" si="415">G575</f>
        <v>19479307.850000001</v>
      </c>
      <c r="H574" s="218">
        <f t="shared" si="415"/>
        <v>26310464</v>
      </c>
      <c r="I574" s="204">
        <f t="shared" si="415"/>
        <v>26310464</v>
      </c>
      <c r="J574" s="216">
        <f t="shared" si="400"/>
        <v>0</v>
      </c>
      <c r="K574" s="216"/>
      <c r="L574" s="204">
        <f t="shared" ref="L574:L575" si="416">L575</f>
        <v>26310464</v>
      </c>
    </row>
    <row r="575" spans="1:12" ht="72">
      <c r="A575" s="196" t="s">
        <v>395</v>
      </c>
      <c r="B575" s="197" t="s">
        <v>540</v>
      </c>
      <c r="C575" s="197" t="s">
        <v>256</v>
      </c>
      <c r="D575" s="197" t="s">
        <v>138</v>
      </c>
      <c r="E575" s="198" t="s">
        <v>6</v>
      </c>
      <c r="F575" s="220">
        <f>F576</f>
        <v>23993980</v>
      </c>
      <c r="G575" s="220">
        <f t="shared" si="415"/>
        <v>19479307.850000001</v>
      </c>
      <c r="H575" s="220">
        <f t="shared" si="415"/>
        <v>26310464</v>
      </c>
      <c r="I575" s="212">
        <f t="shared" si="415"/>
        <v>26310464</v>
      </c>
      <c r="J575" s="216">
        <f t="shared" si="400"/>
        <v>0</v>
      </c>
      <c r="K575" s="216"/>
      <c r="L575" s="212">
        <f t="shared" si="416"/>
        <v>26310464</v>
      </c>
    </row>
    <row r="576" spans="1:12" ht="72">
      <c r="A576" s="164" t="s">
        <v>401</v>
      </c>
      <c r="B576" s="163" t="s">
        <v>540</v>
      </c>
      <c r="C576" s="163" t="s">
        <v>256</v>
      </c>
      <c r="D576" s="163" t="s">
        <v>149</v>
      </c>
      <c r="E576" s="169" t="s">
        <v>6</v>
      </c>
      <c r="F576" s="167">
        <f>F577+F581+F591</f>
        <v>23993980</v>
      </c>
      <c r="G576" s="167">
        <f t="shared" ref="G576:I576" si="417">G577+G581+G591</f>
        <v>19479307.850000001</v>
      </c>
      <c r="H576" s="167">
        <f t="shared" si="417"/>
        <v>26310464</v>
      </c>
      <c r="I576" s="167">
        <f t="shared" si="417"/>
        <v>26310464</v>
      </c>
      <c r="J576" s="216">
        <f t="shared" si="400"/>
        <v>0</v>
      </c>
      <c r="K576" s="216"/>
      <c r="L576" s="167">
        <f t="shared" ref="L576" si="418">L577+L581+L591</f>
        <v>26310464</v>
      </c>
    </row>
    <row r="577" spans="1:12" ht="54">
      <c r="A577" s="203" t="s">
        <v>207</v>
      </c>
      <c r="B577" s="163" t="s">
        <v>540</v>
      </c>
      <c r="C577" s="163" t="s">
        <v>256</v>
      </c>
      <c r="D577" s="163" t="s">
        <v>224</v>
      </c>
      <c r="E577" s="169" t="s">
        <v>6</v>
      </c>
      <c r="F577" s="167">
        <f>F578</f>
        <v>23304930</v>
      </c>
      <c r="G577" s="167">
        <f>G578</f>
        <v>18180807.850000001</v>
      </c>
      <c r="H577" s="167">
        <f>H578</f>
        <v>24996964</v>
      </c>
      <c r="I577" s="182">
        <f>I578</f>
        <v>24996964</v>
      </c>
      <c r="J577" s="216">
        <f t="shared" si="400"/>
        <v>0</v>
      </c>
      <c r="K577" s="216"/>
      <c r="L577" s="182">
        <f>L578</f>
        <v>24996964</v>
      </c>
    </row>
    <row r="578" spans="1:12" ht="39.15" customHeight="1">
      <c r="A578" s="164" t="s">
        <v>115</v>
      </c>
      <c r="B578" s="163" t="s">
        <v>540</v>
      </c>
      <c r="C578" s="163" t="s">
        <v>256</v>
      </c>
      <c r="D578" s="163" t="s">
        <v>151</v>
      </c>
      <c r="E578" s="169" t="s">
        <v>6</v>
      </c>
      <c r="F578" s="167">
        <f>F579</f>
        <v>23304930</v>
      </c>
      <c r="G578" s="167">
        <f t="shared" ref="G578:I579" si="419">G579</f>
        <v>18180807.850000001</v>
      </c>
      <c r="H578" s="167">
        <f t="shared" si="419"/>
        <v>24996964</v>
      </c>
      <c r="I578" s="182">
        <f t="shared" si="419"/>
        <v>24996964</v>
      </c>
      <c r="J578" s="216">
        <f t="shared" si="400"/>
        <v>0</v>
      </c>
      <c r="K578" s="216"/>
      <c r="L578" s="182">
        <f t="shared" ref="L578:L579" si="420">L579</f>
        <v>24996964</v>
      </c>
    </row>
    <row r="579" spans="1:12" ht="54">
      <c r="A579" s="164" t="s">
        <v>37</v>
      </c>
      <c r="B579" s="163" t="s">
        <v>540</v>
      </c>
      <c r="C579" s="163" t="s">
        <v>256</v>
      </c>
      <c r="D579" s="163" t="s">
        <v>151</v>
      </c>
      <c r="E579" s="169" t="s">
        <v>38</v>
      </c>
      <c r="F579" s="167">
        <f>F580</f>
        <v>23304930</v>
      </c>
      <c r="G579" s="167">
        <f t="shared" si="419"/>
        <v>18180807.850000001</v>
      </c>
      <c r="H579" s="167">
        <f t="shared" si="419"/>
        <v>24996964</v>
      </c>
      <c r="I579" s="182">
        <f t="shared" si="419"/>
        <v>24996964</v>
      </c>
      <c r="J579" s="216">
        <f t="shared" si="400"/>
        <v>0</v>
      </c>
      <c r="K579" s="216"/>
      <c r="L579" s="182">
        <f t="shared" si="420"/>
        <v>24996964</v>
      </c>
    </row>
    <row r="580" spans="1:12">
      <c r="A580" s="164" t="s">
        <v>74</v>
      </c>
      <c r="B580" s="163" t="s">
        <v>540</v>
      </c>
      <c r="C580" s="163" t="s">
        <v>256</v>
      </c>
      <c r="D580" s="163" t="s">
        <v>151</v>
      </c>
      <c r="E580" s="169" t="s">
        <v>75</v>
      </c>
      <c r="F580" s="184">
        <v>23304930</v>
      </c>
      <c r="G580" s="184">
        <v>18180807.850000001</v>
      </c>
      <c r="H580" s="184">
        <v>24996964</v>
      </c>
      <c r="I580" s="195">
        <v>24996964</v>
      </c>
      <c r="J580" s="216">
        <f t="shared" si="400"/>
        <v>0</v>
      </c>
      <c r="K580" s="216"/>
      <c r="L580" s="195">
        <v>24996964</v>
      </c>
    </row>
    <row r="581" spans="1:12" ht="54">
      <c r="A581" s="200" t="s">
        <v>402</v>
      </c>
      <c r="B581" s="163" t="s">
        <v>540</v>
      </c>
      <c r="C581" s="163" t="s">
        <v>256</v>
      </c>
      <c r="D581" s="163" t="s">
        <v>225</v>
      </c>
      <c r="E581" s="169" t="s">
        <v>6</v>
      </c>
      <c r="F581" s="184">
        <f>F582+F588+F585+F594</f>
        <v>287950</v>
      </c>
      <c r="G581" s="184">
        <f>G582+G588</f>
        <v>95500</v>
      </c>
      <c r="H581" s="184">
        <f>H582+H588</f>
        <v>110500</v>
      </c>
      <c r="I581" s="195">
        <f>I582+I588</f>
        <v>110500</v>
      </c>
      <c r="J581" s="216">
        <f t="shared" si="400"/>
        <v>0</v>
      </c>
      <c r="K581" s="216"/>
      <c r="L581" s="195">
        <f>L582+L588</f>
        <v>110500</v>
      </c>
    </row>
    <row r="582" spans="1:12" ht="36">
      <c r="A582" s="164" t="s">
        <v>268</v>
      </c>
      <c r="B582" s="163" t="s">
        <v>540</v>
      </c>
      <c r="C582" s="163" t="s">
        <v>256</v>
      </c>
      <c r="D582" s="163" t="s">
        <v>288</v>
      </c>
      <c r="E582" s="169" t="s">
        <v>6</v>
      </c>
      <c r="F582" s="218">
        <f>F583</f>
        <v>24800</v>
      </c>
      <c r="G582" s="218">
        <f t="shared" ref="G582:I583" si="421">G583</f>
        <v>10000</v>
      </c>
      <c r="H582" s="218">
        <f t="shared" si="421"/>
        <v>25000</v>
      </c>
      <c r="I582" s="204">
        <f t="shared" si="421"/>
        <v>25000</v>
      </c>
      <c r="J582" s="216">
        <f t="shared" si="400"/>
        <v>0</v>
      </c>
      <c r="K582" s="216"/>
      <c r="L582" s="204">
        <f t="shared" ref="L582:L583" si="422">L583</f>
        <v>25000</v>
      </c>
    </row>
    <row r="583" spans="1:12" ht="54">
      <c r="A583" s="164" t="s">
        <v>37</v>
      </c>
      <c r="B583" s="163" t="s">
        <v>540</v>
      </c>
      <c r="C583" s="163" t="s">
        <v>256</v>
      </c>
      <c r="D583" s="163" t="s">
        <v>288</v>
      </c>
      <c r="E583" s="169" t="s">
        <v>38</v>
      </c>
      <c r="F583" s="218">
        <f>F584</f>
        <v>24800</v>
      </c>
      <c r="G583" s="218">
        <f t="shared" si="421"/>
        <v>10000</v>
      </c>
      <c r="H583" s="218">
        <f t="shared" si="421"/>
        <v>25000</v>
      </c>
      <c r="I583" s="204">
        <f t="shared" si="421"/>
        <v>25000</v>
      </c>
      <c r="J583" s="216">
        <f t="shared" si="400"/>
        <v>0</v>
      </c>
      <c r="K583" s="216"/>
      <c r="L583" s="204">
        <f t="shared" si="422"/>
        <v>25000</v>
      </c>
    </row>
    <row r="584" spans="1:12">
      <c r="A584" s="164" t="s">
        <v>74</v>
      </c>
      <c r="B584" s="163" t="s">
        <v>540</v>
      </c>
      <c r="C584" s="163" t="s">
        <v>256</v>
      </c>
      <c r="D584" s="163" t="s">
        <v>288</v>
      </c>
      <c r="E584" s="169" t="s">
        <v>75</v>
      </c>
      <c r="F584" s="184">
        <v>24800</v>
      </c>
      <c r="G584" s="184">
        <v>10000</v>
      </c>
      <c r="H584" s="184">
        <v>25000</v>
      </c>
      <c r="I584" s="195">
        <v>25000</v>
      </c>
      <c r="J584" s="216">
        <f t="shared" si="400"/>
        <v>0</v>
      </c>
      <c r="K584" s="216"/>
      <c r="L584" s="195">
        <v>25000</v>
      </c>
    </row>
    <row r="585" spans="1:12">
      <c r="A585" s="221" t="s">
        <v>311</v>
      </c>
      <c r="B585" s="163" t="s">
        <v>540</v>
      </c>
      <c r="C585" s="163" t="s">
        <v>256</v>
      </c>
      <c r="D585" s="163" t="s">
        <v>749</v>
      </c>
      <c r="E585" s="163" t="s">
        <v>6</v>
      </c>
      <c r="F585" s="184">
        <f>F586</f>
        <v>125650</v>
      </c>
      <c r="G585" s="184">
        <f t="shared" ref="G585:I586" si="423">G586</f>
        <v>0</v>
      </c>
      <c r="H585" s="184">
        <f t="shared" si="423"/>
        <v>0</v>
      </c>
      <c r="I585" s="184">
        <f t="shared" si="423"/>
        <v>0</v>
      </c>
      <c r="J585" s="216">
        <f t="shared" si="400"/>
        <v>0</v>
      </c>
      <c r="K585" s="216"/>
      <c r="L585" s="184">
        <f t="shared" ref="L585:L586" si="424">L586</f>
        <v>0</v>
      </c>
    </row>
    <row r="586" spans="1:12" ht="54">
      <c r="A586" s="164" t="s">
        <v>37</v>
      </c>
      <c r="B586" s="163" t="s">
        <v>540</v>
      </c>
      <c r="C586" s="163" t="s">
        <v>256</v>
      </c>
      <c r="D586" s="163" t="s">
        <v>749</v>
      </c>
      <c r="E586" s="163" t="s">
        <v>38</v>
      </c>
      <c r="F586" s="184">
        <f>F587</f>
        <v>125650</v>
      </c>
      <c r="G586" s="184">
        <f t="shared" si="423"/>
        <v>0</v>
      </c>
      <c r="H586" s="184">
        <f t="shared" si="423"/>
        <v>0</v>
      </c>
      <c r="I586" s="184">
        <f t="shared" si="423"/>
        <v>0</v>
      </c>
      <c r="J586" s="216">
        <f t="shared" si="400"/>
        <v>0</v>
      </c>
      <c r="K586" s="216"/>
      <c r="L586" s="184">
        <f t="shared" si="424"/>
        <v>0</v>
      </c>
    </row>
    <row r="587" spans="1:12">
      <c r="A587" s="164" t="s">
        <v>74</v>
      </c>
      <c r="B587" s="163" t="s">
        <v>540</v>
      </c>
      <c r="C587" s="163" t="s">
        <v>256</v>
      </c>
      <c r="D587" s="163" t="s">
        <v>749</v>
      </c>
      <c r="E587" s="163" t="s">
        <v>75</v>
      </c>
      <c r="F587" s="184">
        <v>125650</v>
      </c>
      <c r="G587" s="184">
        <v>0</v>
      </c>
      <c r="H587" s="184">
        <v>0</v>
      </c>
      <c r="I587" s="195"/>
      <c r="J587" s="216">
        <f t="shared" si="400"/>
        <v>0</v>
      </c>
      <c r="K587" s="216"/>
      <c r="L587" s="195"/>
    </row>
    <row r="588" spans="1:12" ht="36">
      <c r="A588" s="164" t="s">
        <v>112</v>
      </c>
      <c r="B588" s="163" t="s">
        <v>540</v>
      </c>
      <c r="C588" s="163" t="s">
        <v>256</v>
      </c>
      <c r="D588" s="163" t="s">
        <v>150</v>
      </c>
      <c r="E588" s="169" t="s">
        <v>6</v>
      </c>
      <c r="F588" s="167">
        <f>F589</f>
        <v>85500</v>
      </c>
      <c r="G588" s="167">
        <f t="shared" ref="G588:I589" si="425">G589</f>
        <v>85500</v>
      </c>
      <c r="H588" s="167">
        <f t="shared" si="425"/>
        <v>85500</v>
      </c>
      <c r="I588" s="182">
        <f t="shared" si="425"/>
        <v>85500</v>
      </c>
      <c r="J588" s="216">
        <f t="shared" si="400"/>
        <v>0</v>
      </c>
      <c r="K588" s="216"/>
      <c r="L588" s="182">
        <f t="shared" ref="L588:L589" si="426">L589</f>
        <v>85500</v>
      </c>
    </row>
    <row r="589" spans="1:12" ht="54">
      <c r="A589" s="164" t="s">
        <v>37</v>
      </c>
      <c r="B589" s="163" t="s">
        <v>540</v>
      </c>
      <c r="C589" s="163" t="s">
        <v>256</v>
      </c>
      <c r="D589" s="163" t="s">
        <v>150</v>
      </c>
      <c r="E589" s="169" t="s">
        <v>38</v>
      </c>
      <c r="F589" s="167">
        <f>F590</f>
        <v>85500</v>
      </c>
      <c r="G589" s="167">
        <f t="shared" si="425"/>
        <v>85500</v>
      </c>
      <c r="H589" s="167">
        <f t="shared" si="425"/>
        <v>85500</v>
      </c>
      <c r="I589" s="182">
        <f t="shared" si="425"/>
        <v>85500</v>
      </c>
      <c r="J589" s="216">
        <f t="shared" si="400"/>
        <v>0</v>
      </c>
      <c r="K589" s="216"/>
      <c r="L589" s="182">
        <f t="shared" si="426"/>
        <v>85500</v>
      </c>
    </row>
    <row r="590" spans="1:12">
      <c r="A590" s="164" t="s">
        <v>74</v>
      </c>
      <c r="B590" s="163" t="s">
        <v>540</v>
      </c>
      <c r="C590" s="163" t="s">
        <v>256</v>
      </c>
      <c r="D590" s="163" t="s">
        <v>150</v>
      </c>
      <c r="E590" s="169" t="s">
        <v>75</v>
      </c>
      <c r="F590" s="184">
        <v>85500</v>
      </c>
      <c r="G590" s="184">
        <v>85500</v>
      </c>
      <c r="H590" s="184">
        <v>85500</v>
      </c>
      <c r="I590" s="195">
        <v>85500</v>
      </c>
      <c r="J590" s="216">
        <f t="shared" si="400"/>
        <v>0</v>
      </c>
      <c r="K590" s="216"/>
      <c r="L590" s="195">
        <v>85500</v>
      </c>
    </row>
    <row r="591" spans="1:12" ht="54">
      <c r="A591" s="164" t="s">
        <v>768</v>
      </c>
      <c r="B591" s="163" t="s">
        <v>540</v>
      </c>
      <c r="C591" s="163" t="s">
        <v>256</v>
      </c>
      <c r="D591" s="163" t="s">
        <v>769</v>
      </c>
      <c r="E591" s="163" t="s">
        <v>6</v>
      </c>
      <c r="F591" s="184">
        <f>F592</f>
        <v>401100</v>
      </c>
      <c r="G591" s="184">
        <f t="shared" ref="G591:I592" si="427">G592</f>
        <v>1203000</v>
      </c>
      <c r="H591" s="184">
        <f t="shared" si="427"/>
        <v>1203000</v>
      </c>
      <c r="I591" s="184">
        <f t="shared" si="427"/>
        <v>1203000</v>
      </c>
      <c r="J591" s="216">
        <f t="shared" si="400"/>
        <v>0</v>
      </c>
      <c r="K591" s="216"/>
      <c r="L591" s="184">
        <f t="shared" ref="L591:L592" si="428">L592</f>
        <v>1203000</v>
      </c>
    </row>
    <row r="592" spans="1:12" ht="54">
      <c r="A592" s="164" t="s">
        <v>37</v>
      </c>
      <c r="B592" s="163" t="s">
        <v>540</v>
      </c>
      <c r="C592" s="163" t="s">
        <v>256</v>
      </c>
      <c r="D592" s="163" t="s">
        <v>770</v>
      </c>
      <c r="E592" s="163" t="s">
        <v>38</v>
      </c>
      <c r="F592" s="184">
        <f>F593</f>
        <v>401100</v>
      </c>
      <c r="G592" s="184">
        <f t="shared" si="427"/>
        <v>1203000</v>
      </c>
      <c r="H592" s="184">
        <f t="shared" si="427"/>
        <v>1203000</v>
      </c>
      <c r="I592" s="184">
        <f t="shared" si="427"/>
        <v>1203000</v>
      </c>
      <c r="J592" s="216">
        <f t="shared" si="400"/>
        <v>0</v>
      </c>
      <c r="K592" s="216"/>
      <c r="L592" s="184">
        <f t="shared" si="428"/>
        <v>1203000</v>
      </c>
    </row>
    <row r="593" spans="1:12">
      <c r="A593" s="164" t="s">
        <v>74</v>
      </c>
      <c r="B593" s="163" t="s">
        <v>540</v>
      </c>
      <c r="C593" s="163" t="s">
        <v>256</v>
      </c>
      <c r="D593" s="163" t="s">
        <v>770</v>
      </c>
      <c r="E593" s="163" t="s">
        <v>75</v>
      </c>
      <c r="F593" s="184">
        <v>401100</v>
      </c>
      <c r="G593" s="184">
        <v>1203000</v>
      </c>
      <c r="H593" s="184">
        <v>1203000</v>
      </c>
      <c r="I593" s="195">
        <v>1203000</v>
      </c>
      <c r="J593" s="216">
        <f t="shared" si="400"/>
        <v>0</v>
      </c>
      <c r="K593" s="216"/>
      <c r="L593" s="195">
        <v>1203000</v>
      </c>
    </row>
    <row r="594" spans="1:12" ht="72">
      <c r="A594" s="200" t="s">
        <v>459</v>
      </c>
      <c r="B594" s="163" t="s">
        <v>540</v>
      </c>
      <c r="C594" s="163" t="s">
        <v>256</v>
      </c>
      <c r="D594" s="163" t="s">
        <v>741</v>
      </c>
      <c r="E594" s="163" t="s">
        <v>6</v>
      </c>
      <c r="F594" s="184">
        <f>F595</f>
        <v>52000</v>
      </c>
      <c r="G594" s="184">
        <f t="shared" ref="G594:I595" si="429">G595</f>
        <v>0</v>
      </c>
      <c r="H594" s="184">
        <f t="shared" si="429"/>
        <v>0</v>
      </c>
      <c r="I594" s="184">
        <f t="shared" si="429"/>
        <v>0</v>
      </c>
      <c r="J594" s="216">
        <f t="shared" si="400"/>
        <v>0</v>
      </c>
      <c r="K594" s="216"/>
      <c r="L594" s="184">
        <f t="shared" ref="L594:L595" si="430">L595</f>
        <v>0</v>
      </c>
    </row>
    <row r="595" spans="1:12" ht="54">
      <c r="A595" s="164" t="s">
        <v>37</v>
      </c>
      <c r="B595" s="163" t="s">
        <v>540</v>
      </c>
      <c r="C595" s="163" t="s">
        <v>256</v>
      </c>
      <c r="D595" s="163" t="s">
        <v>741</v>
      </c>
      <c r="E595" s="163" t="s">
        <v>38</v>
      </c>
      <c r="F595" s="184">
        <f>F596</f>
        <v>52000</v>
      </c>
      <c r="G595" s="184">
        <f t="shared" si="429"/>
        <v>0</v>
      </c>
      <c r="H595" s="184">
        <f t="shared" si="429"/>
        <v>0</v>
      </c>
      <c r="I595" s="184">
        <f t="shared" si="429"/>
        <v>0</v>
      </c>
      <c r="J595" s="216">
        <f t="shared" si="400"/>
        <v>0</v>
      </c>
      <c r="K595" s="216"/>
      <c r="L595" s="184">
        <f t="shared" si="430"/>
        <v>0</v>
      </c>
    </row>
    <row r="596" spans="1:12">
      <c r="A596" s="164" t="s">
        <v>74</v>
      </c>
      <c r="B596" s="163" t="s">
        <v>540</v>
      </c>
      <c r="C596" s="163" t="s">
        <v>256</v>
      </c>
      <c r="D596" s="163" t="s">
        <v>741</v>
      </c>
      <c r="E596" s="163" t="s">
        <v>75</v>
      </c>
      <c r="F596" s="184">
        <v>52000</v>
      </c>
      <c r="G596" s="184">
        <v>0</v>
      </c>
      <c r="H596" s="184">
        <v>0</v>
      </c>
      <c r="I596" s="195">
        <v>0</v>
      </c>
      <c r="J596" s="216">
        <f t="shared" si="400"/>
        <v>0</v>
      </c>
      <c r="K596" s="216"/>
      <c r="L596" s="195">
        <v>0</v>
      </c>
    </row>
    <row r="597" spans="1:12" ht="36">
      <c r="A597" s="164" t="s">
        <v>76</v>
      </c>
      <c r="B597" s="163" t="s">
        <v>540</v>
      </c>
      <c r="C597" s="163" t="s">
        <v>77</v>
      </c>
      <c r="D597" s="163" t="s">
        <v>126</v>
      </c>
      <c r="E597" s="169" t="s">
        <v>6</v>
      </c>
      <c r="F597" s="167">
        <f t="shared" ref="F597:I597" si="431">F598</f>
        <v>1883721.5</v>
      </c>
      <c r="G597" s="167">
        <f t="shared" si="431"/>
        <v>172000</v>
      </c>
      <c r="H597" s="167">
        <f t="shared" si="431"/>
        <v>2042300</v>
      </c>
      <c r="I597" s="182">
        <f t="shared" si="431"/>
        <v>2042300</v>
      </c>
      <c r="J597" s="216">
        <f t="shared" si="400"/>
        <v>0</v>
      </c>
      <c r="K597" s="216"/>
      <c r="L597" s="182">
        <f t="shared" ref="L597" si="432">L598</f>
        <v>2042300</v>
      </c>
    </row>
    <row r="598" spans="1:12" s="71" customFormat="1" ht="72">
      <c r="A598" s="196" t="s">
        <v>395</v>
      </c>
      <c r="B598" s="197" t="s">
        <v>540</v>
      </c>
      <c r="C598" s="197" t="s">
        <v>77</v>
      </c>
      <c r="D598" s="197" t="s">
        <v>138</v>
      </c>
      <c r="E598" s="198" t="s">
        <v>6</v>
      </c>
      <c r="F598" s="171">
        <f>F599+F613+F604</f>
        <v>1883721.5</v>
      </c>
      <c r="G598" s="171">
        <f t="shared" ref="G598:I598" si="433">G599+G613+G604</f>
        <v>172000</v>
      </c>
      <c r="H598" s="171">
        <f t="shared" si="433"/>
        <v>2042300</v>
      </c>
      <c r="I598" s="171">
        <f t="shared" si="433"/>
        <v>2042300</v>
      </c>
      <c r="J598" s="216">
        <f t="shared" si="400"/>
        <v>0</v>
      </c>
      <c r="K598" s="216"/>
      <c r="L598" s="171">
        <f t="shared" ref="L598" si="434">L599+L613+L604</f>
        <v>2042300</v>
      </c>
    </row>
    <row r="599" spans="1:12" ht="54">
      <c r="A599" s="164" t="s">
        <v>398</v>
      </c>
      <c r="B599" s="163" t="s">
        <v>540</v>
      </c>
      <c r="C599" s="163" t="s">
        <v>77</v>
      </c>
      <c r="D599" s="163" t="s">
        <v>146</v>
      </c>
      <c r="E599" s="169" t="s">
        <v>6</v>
      </c>
      <c r="F599" s="167">
        <f t="shared" ref="F599:I600" si="435">F600</f>
        <v>70000</v>
      </c>
      <c r="G599" s="167">
        <f t="shared" si="435"/>
        <v>70000</v>
      </c>
      <c r="H599" s="167">
        <f t="shared" si="435"/>
        <v>70000</v>
      </c>
      <c r="I599" s="182">
        <f t="shared" si="435"/>
        <v>70000</v>
      </c>
      <c r="J599" s="216">
        <f t="shared" si="400"/>
        <v>0</v>
      </c>
      <c r="K599" s="216"/>
      <c r="L599" s="182">
        <f t="shared" ref="L599:L602" si="436">L600</f>
        <v>70000</v>
      </c>
    </row>
    <row r="600" spans="1:12" ht="36">
      <c r="A600" s="200" t="s">
        <v>206</v>
      </c>
      <c r="B600" s="163" t="s">
        <v>540</v>
      </c>
      <c r="C600" s="163" t="s">
        <v>77</v>
      </c>
      <c r="D600" s="163" t="s">
        <v>220</v>
      </c>
      <c r="E600" s="169" t="s">
        <v>6</v>
      </c>
      <c r="F600" s="167">
        <f>F601</f>
        <v>70000</v>
      </c>
      <c r="G600" s="167">
        <f t="shared" si="435"/>
        <v>70000</v>
      </c>
      <c r="H600" s="167">
        <f t="shared" si="435"/>
        <v>70000</v>
      </c>
      <c r="I600" s="182">
        <f t="shared" si="435"/>
        <v>70000</v>
      </c>
      <c r="J600" s="216">
        <f t="shared" si="400"/>
        <v>0</v>
      </c>
      <c r="K600" s="216"/>
      <c r="L600" s="182">
        <f t="shared" si="436"/>
        <v>70000</v>
      </c>
    </row>
    <row r="601" spans="1:12" ht="36">
      <c r="A601" s="164" t="s">
        <v>424</v>
      </c>
      <c r="B601" s="163" t="s">
        <v>540</v>
      </c>
      <c r="C601" s="163" t="s">
        <v>77</v>
      </c>
      <c r="D601" s="163" t="s">
        <v>235</v>
      </c>
      <c r="E601" s="169" t="s">
        <v>6</v>
      </c>
      <c r="F601" s="167">
        <f>F602</f>
        <v>70000</v>
      </c>
      <c r="G601" s="167">
        <f t="shared" ref="G601:I602" si="437">G602</f>
        <v>70000</v>
      </c>
      <c r="H601" s="167">
        <f t="shared" si="437"/>
        <v>70000</v>
      </c>
      <c r="I601" s="182">
        <f t="shared" si="437"/>
        <v>70000</v>
      </c>
      <c r="J601" s="216">
        <f t="shared" si="400"/>
        <v>0</v>
      </c>
      <c r="K601" s="216"/>
      <c r="L601" s="182">
        <f t="shared" si="436"/>
        <v>70000</v>
      </c>
    </row>
    <row r="602" spans="1:12" ht="18.75" customHeight="1">
      <c r="A602" s="164" t="s">
        <v>15</v>
      </c>
      <c r="B602" s="163" t="s">
        <v>540</v>
      </c>
      <c r="C602" s="163" t="s">
        <v>77</v>
      </c>
      <c r="D602" s="163" t="s">
        <v>235</v>
      </c>
      <c r="E602" s="169" t="s">
        <v>16</v>
      </c>
      <c r="F602" s="167">
        <f>F603</f>
        <v>70000</v>
      </c>
      <c r="G602" s="167">
        <f t="shared" si="437"/>
        <v>70000</v>
      </c>
      <c r="H602" s="167">
        <f t="shared" si="437"/>
        <v>70000</v>
      </c>
      <c r="I602" s="182">
        <f t="shared" si="437"/>
        <v>70000</v>
      </c>
      <c r="J602" s="216">
        <f t="shared" si="400"/>
        <v>0</v>
      </c>
      <c r="K602" s="216"/>
      <c r="L602" s="182">
        <f t="shared" si="436"/>
        <v>70000</v>
      </c>
    </row>
    <row r="603" spans="1:12" ht="54">
      <c r="A603" s="164" t="s">
        <v>17</v>
      </c>
      <c r="B603" s="163" t="s">
        <v>540</v>
      </c>
      <c r="C603" s="163" t="s">
        <v>77</v>
      </c>
      <c r="D603" s="163" t="s">
        <v>235</v>
      </c>
      <c r="E603" s="169" t="s">
        <v>18</v>
      </c>
      <c r="F603" s="184">
        <v>70000</v>
      </c>
      <c r="G603" s="184">
        <v>70000</v>
      </c>
      <c r="H603" s="184">
        <v>70000</v>
      </c>
      <c r="I603" s="195">
        <v>70000</v>
      </c>
      <c r="J603" s="216">
        <f t="shared" si="400"/>
        <v>0</v>
      </c>
      <c r="K603" s="216"/>
      <c r="L603" s="195">
        <v>70000</v>
      </c>
    </row>
    <row r="604" spans="1:12" ht="54">
      <c r="A604" s="200" t="s">
        <v>275</v>
      </c>
      <c r="B604" s="163" t="s">
        <v>540</v>
      </c>
      <c r="C604" s="163" t="s">
        <v>77</v>
      </c>
      <c r="D604" s="163" t="s">
        <v>223</v>
      </c>
      <c r="E604" s="163" t="s">
        <v>6</v>
      </c>
      <c r="F604" s="184">
        <f>F605</f>
        <v>1689721.5</v>
      </c>
      <c r="G604" s="184">
        <f t="shared" ref="G604:I604" si="438">G605</f>
        <v>2000</v>
      </c>
      <c r="H604" s="184">
        <f t="shared" si="438"/>
        <v>1847300</v>
      </c>
      <c r="I604" s="184">
        <f t="shared" si="438"/>
        <v>1847300</v>
      </c>
      <c r="J604" s="216">
        <f t="shared" si="400"/>
        <v>0</v>
      </c>
      <c r="K604" s="216"/>
      <c r="L604" s="184">
        <f t="shared" ref="L604" si="439">L605</f>
        <v>1847300</v>
      </c>
    </row>
    <row r="605" spans="1:12" ht="108">
      <c r="A605" s="187" t="s">
        <v>403</v>
      </c>
      <c r="B605" s="163" t="s">
        <v>540</v>
      </c>
      <c r="C605" s="163" t="s">
        <v>77</v>
      </c>
      <c r="D605" s="163" t="s">
        <v>152</v>
      </c>
      <c r="E605" s="163" t="s">
        <v>6</v>
      </c>
      <c r="F605" s="167">
        <f>F606+F610+F608</f>
        <v>1689721.5</v>
      </c>
      <c r="G605" s="167">
        <f t="shared" ref="G605:I605" si="440">G606+G610+G608</f>
        <v>2000</v>
      </c>
      <c r="H605" s="167">
        <f t="shared" si="440"/>
        <v>1847300</v>
      </c>
      <c r="I605" s="167">
        <f t="shared" si="440"/>
        <v>1847300</v>
      </c>
      <c r="J605" s="216">
        <f t="shared" si="400"/>
        <v>0</v>
      </c>
      <c r="K605" s="216"/>
      <c r="L605" s="167">
        <f t="shared" ref="L605" si="441">L606+L610+L608</f>
        <v>1847300</v>
      </c>
    </row>
    <row r="606" spans="1:12" ht="36">
      <c r="A606" s="164" t="s">
        <v>15</v>
      </c>
      <c r="B606" s="163" t="s">
        <v>540</v>
      </c>
      <c r="C606" s="163" t="s">
        <v>77</v>
      </c>
      <c r="D606" s="163" t="s">
        <v>152</v>
      </c>
      <c r="E606" s="163" t="s">
        <v>16</v>
      </c>
      <c r="F606" s="167">
        <f>F607</f>
        <v>2000</v>
      </c>
      <c r="G606" s="167">
        <f t="shared" ref="G606:I606" si="442">G607</f>
        <v>2000</v>
      </c>
      <c r="H606" s="167">
        <f t="shared" si="442"/>
        <v>2000</v>
      </c>
      <c r="I606" s="167">
        <f t="shared" si="442"/>
        <v>2000</v>
      </c>
      <c r="J606" s="216">
        <f t="shared" si="400"/>
        <v>0</v>
      </c>
      <c r="K606" s="216"/>
      <c r="L606" s="167">
        <f t="shared" ref="L606" si="443">L607</f>
        <v>2000</v>
      </c>
    </row>
    <row r="607" spans="1:12" ht="54">
      <c r="A607" s="164" t="s">
        <v>17</v>
      </c>
      <c r="B607" s="163" t="s">
        <v>540</v>
      </c>
      <c r="C607" s="163" t="s">
        <v>77</v>
      </c>
      <c r="D607" s="163" t="s">
        <v>152</v>
      </c>
      <c r="E607" s="163" t="s">
        <v>18</v>
      </c>
      <c r="F607" s="167">
        <v>2000</v>
      </c>
      <c r="G607" s="167">
        <v>2000</v>
      </c>
      <c r="H607" s="167">
        <v>2000</v>
      </c>
      <c r="I607" s="195">
        <v>2000</v>
      </c>
      <c r="J607" s="216">
        <f t="shared" si="400"/>
        <v>0</v>
      </c>
      <c r="K607" s="216"/>
      <c r="L607" s="195">
        <v>2000</v>
      </c>
    </row>
    <row r="608" spans="1:12" ht="36">
      <c r="A608" s="164" t="s">
        <v>90</v>
      </c>
      <c r="B608" s="163" t="s">
        <v>540</v>
      </c>
      <c r="C608" s="163" t="s">
        <v>77</v>
      </c>
      <c r="D608" s="163" t="s">
        <v>152</v>
      </c>
      <c r="E608" s="163" t="s">
        <v>91</v>
      </c>
      <c r="F608" s="167">
        <f>F609</f>
        <v>320000</v>
      </c>
      <c r="G608" s="167">
        <f t="shared" ref="G608:I608" si="444">G609</f>
        <v>0</v>
      </c>
      <c r="H608" s="167">
        <f t="shared" si="444"/>
        <v>320000</v>
      </c>
      <c r="I608" s="167">
        <f t="shared" si="444"/>
        <v>320000</v>
      </c>
      <c r="J608" s="216">
        <f t="shared" si="400"/>
        <v>0</v>
      </c>
      <c r="K608" s="216"/>
      <c r="L608" s="167">
        <f t="shared" ref="L608" si="445">L609</f>
        <v>320000</v>
      </c>
    </row>
    <row r="609" spans="1:12" ht="54">
      <c r="A609" s="164" t="s">
        <v>97</v>
      </c>
      <c r="B609" s="163" t="s">
        <v>540</v>
      </c>
      <c r="C609" s="163" t="s">
        <v>77</v>
      </c>
      <c r="D609" s="163" t="s">
        <v>152</v>
      </c>
      <c r="E609" s="163" t="s">
        <v>98</v>
      </c>
      <c r="F609" s="184">
        <v>320000</v>
      </c>
      <c r="G609" s="184">
        <v>0</v>
      </c>
      <c r="H609" s="184">
        <v>320000</v>
      </c>
      <c r="I609" s="195">
        <v>320000</v>
      </c>
      <c r="J609" s="216">
        <f t="shared" si="400"/>
        <v>0</v>
      </c>
      <c r="K609" s="216"/>
      <c r="L609" s="195">
        <v>320000</v>
      </c>
    </row>
    <row r="610" spans="1:12" ht="54">
      <c r="A610" s="164" t="s">
        <v>37</v>
      </c>
      <c r="B610" s="163" t="s">
        <v>540</v>
      </c>
      <c r="C610" s="163" t="s">
        <v>77</v>
      </c>
      <c r="D610" s="163" t="s">
        <v>152</v>
      </c>
      <c r="E610" s="163" t="s">
        <v>38</v>
      </c>
      <c r="F610" s="167">
        <f>F611</f>
        <v>1367721.5</v>
      </c>
      <c r="G610" s="167">
        <f t="shared" ref="G610:H610" si="446">G611</f>
        <v>0</v>
      </c>
      <c r="H610" s="167">
        <f t="shared" si="446"/>
        <v>1525300</v>
      </c>
      <c r="I610" s="167">
        <f t="shared" ref="I610" si="447">I611</f>
        <v>1525300</v>
      </c>
      <c r="J610" s="216">
        <f t="shared" si="400"/>
        <v>0</v>
      </c>
      <c r="K610" s="216"/>
      <c r="L610" s="167">
        <f t="shared" ref="L610" si="448">L611</f>
        <v>1525300</v>
      </c>
    </row>
    <row r="611" spans="1:12">
      <c r="A611" s="164" t="s">
        <v>74</v>
      </c>
      <c r="B611" s="163" t="s">
        <v>540</v>
      </c>
      <c r="C611" s="163" t="s">
        <v>77</v>
      </c>
      <c r="D611" s="163" t="s">
        <v>152</v>
      </c>
      <c r="E611" s="163" t="s">
        <v>75</v>
      </c>
      <c r="F611" s="184">
        <v>1367721.5</v>
      </c>
      <c r="G611" s="184">
        <v>0</v>
      </c>
      <c r="H611" s="184">
        <v>1525300</v>
      </c>
      <c r="I611" s="195">
        <v>1525300</v>
      </c>
      <c r="J611" s="216">
        <f t="shared" si="400"/>
        <v>0</v>
      </c>
      <c r="K611" s="216"/>
      <c r="L611" s="195">
        <v>1525300</v>
      </c>
    </row>
    <row r="612" spans="1:12" ht="36">
      <c r="A612" s="33" t="s">
        <v>238</v>
      </c>
      <c r="B612" s="163" t="s">
        <v>540</v>
      </c>
      <c r="C612" s="163" t="s">
        <v>77</v>
      </c>
      <c r="D612" s="163" t="s">
        <v>237</v>
      </c>
      <c r="E612" s="169" t="s">
        <v>6</v>
      </c>
      <c r="F612" s="184">
        <f>F613</f>
        <v>124000</v>
      </c>
      <c r="G612" s="184">
        <f>G613</f>
        <v>100000</v>
      </c>
      <c r="H612" s="184">
        <f>H613</f>
        <v>125000</v>
      </c>
      <c r="I612" s="195">
        <f>I613</f>
        <v>125000</v>
      </c>
      <c r="J612" s="216">
        <f t="shared" si="400"/>
        <v>0</v>
      </c>
      <c r="K612" s="216"/>
      <c r="L612" s="195">
        <f>L613</f>
        <v>125000</v>
      </c>
    </row>
    <row r="613" spans="1:12" ht="36">
      <c r="A613" s="164" t="s">
        <v>78</v>
      </c>
      <c r="B613" s="163" t="s">
        <v>540</v>
      </c>
      <c r="C613" s="163" t="s">
        <v>77</v>
      </c>
      <c r="D613" s="163" t="s">
        <v>153</v>
      </c>
      <c r="E613" s="169" t="s">
        <v>6</v>
      </c>
      <c r="F613" s="167">
        <f>F614</f>
        <v>124000</v>
      </c>
      <c r="G613" s="167">
        <f t="shared" ref="G613:I614" si="449">G614</f>
        <v>100000</v>
      </c>
      <c r="H613" s="167">
        <f t="shared" si="449"/>
        <v>125000</v>
      </c>
      <c r="I613" s="182">
        <f t="shared" si="449"/>
        <v>125000</v>
      </c>
      <c r="J613" s="216">
        <f t="shared" si="400"/>
        <v>0</v>
      </c>
      <c r="K613" s="216"/>
      <c r="L613" s="182">
        <f t="shared" ref="L613:L614" si="450">L614</f>
        <v>125000</v>
      </c>
    </row>
    <row r="614" spans="1:12" ht="21.15" customHeight="1">
      <c r="A614" s="164" t="s">
        <v>15</v>
      </c>
      <c r="B614" s="163" t="s">
        <v>540</v>
      </c>
      <c r="C614" s="163" t="s">
        <v>77</v>
      </c>
      <c r="D614" s="163" t="s">
        <v>153</v>
      </c>
      <c r="E614" s="169" t="s">
        <v>16</v>
      </c>
      <c r="F614" s="167">
        <f>F615</f>
        <v>124000</v>
      </c>
      <c r="G614" s="167">
        <f t="shared" si="449"/>
        <v>100000</v>
      </c>
      <c r="H614" s="167">
        <f t="shared" si="449"/>
        <v>125000</v>
      </c>
      <c r="I614" s="182">
        <f t="shared" si="449"/>
        <v>125000</v>
      </c>
      <c r="J614" s="216">
        <f t="shared" si="400"/>
        <v>0</v>
      </c>
      <c r="K614" s="216"/>
      <c r="L614" s="182">
        <f t="shared" si="450"/>
        <v>125000</v>
      </c>
    </row>
    <row r="615" spans="1:12" ht="54">
      <c r="A615" s="164" t="s">
        <v>17</v>
      </c>
      <c r="B615" s="163" t="s">
        <v>540</v>
      </c>
      <c r="C615" s="163" t="s">
        <v>77</v>
      </c>
      <c r="D615" s="163" t="s">
        <v>153</v>
      </c>
      <c r="E615" s="169" t="s">
        <v>18</v>
      </c>
      <c r="F615" s="184">
        <v>124000</v>
      </c>
      <c r="G615" s="184">
        <v>100000</v>
      </c>
      <c r="H615" s="184">
        <v>125000</v>
      </c>
      <c r="I615" s="195">
        <v>125000</v>
      </c>
      <c r="J615" s="216">
        <f t="shared" si="400"/>
        <v>0</v>
      </c>
      <c r="K615" s="216"/>
      <c r="L615" s="195">
        <v>125000</v>
      </c>
    </row>
    <row r="616" spans="1:12">
      <c r="A616" s="164" t="s">
        <v>116</v>
      </c>
      <c r="B616" s="163" t="s">
        <v>540</v>
      </c>
      <c r="C616" s="163" t="s">
        <v>117</v>
      </c>
      <c r="D616" s="163" t="s">
        <v>126</v>
      </c>
      <c r="E616" s="169" t="s">
        <v>6</v>
      </c>
      <c r="F616" s="167">
        <f t="shared" ref="F616:I617" si="451">F617</f>
        <v>20727250</v>
      </c>
      <c r="G616" s="167">
        <f t="shared" si="451"/>
        <v>19189400</v>
      </c>
      <c r="H616" s="167">
        <f t="shared" si="451"/>
        <v>22081996</v>
      </c>
      <c r="I616" s="182">
        <f t="shared" si="451"/>
        <v>21791996</v>
      </c>
      <c r="J616" s="216">
        <f t="shared" ref="J616:J677" si="452">I616-H616</f>
        <v>-290000</v>
      </c>
      <c r="K616" s="216"/>
      <c r="L616" s="182">
        <f t="shared" ref="L616:L617" si="453">L617</f>
        <v>21791996</v>
      </c>
    </row>
    <row r="617" spans="1:12" ht="72">
      <c r="A617" s="196" t="s">
        <v>404</v>
      </c>
      <c r="B617" s="197" t="s">
        <v>540</v>
      </c>
      <c r="C617" s="197" t="s">
        <v>117</v>
      </c>
      <c r="D617" s="197" t="s">
        <v>138</v>
      </c>
      <c r="E617" s="198" t="s">
        <v>6</v>
      </c>
      <c r="F617" s="223">
        <f t="shared" si="451"/>
        <v>20727250</v>
      </c>
      <c r="G617" s="223">
        <f t="shared" si="451"/>
        <v>19189400</v>
      </c>
      <c r="H617" s="223">
        <f t="shared" si="451"/>
        <v>22081996</v>
      </c>
      <c r="I617" s="224">
        <f t="shared" si="451"/>
        <v>21791996</v>
      </c>
      <c r="J617" s="216">
        <f t="shared" si="452"/>
        <v>-290000</v>
      </c>
      <c r="K617" s="216"/>
      <c r="L617" s="224">
        <f t="shared" si="453"/>
        <v>21791996</v>
      </c>
    </row>
    <row r="618" spans="1:12" ht="54">
      <c r="A618" s="200" t="s">
        <v>209</v>
      </c>
      <c r="B618" s="163" t="s">
        <v>540</v>
      </c>
      <c r="C618" s="163" t="s">
        <v>117</v>
      </c>
      <c r="D618" s="163" t="s">
        <v>226</v>
      </c>
      <c r="E618" s="169" t="s">
        <v>6</v>
      </c>
      <c r="F618" s="171">
        <f>F619+F626+F633</f>
        <v>20727250</v>
      </c>
      <c r="G618" s="171">
        <f t="shared" ref="G618:I618" si="454">G619+G626+G633</f>
        <v>19189400</v>
      </c>
      <c r="H618" s="171">
        <f t="shared" si="454"/>
        <v>22081996</v>
      </c>
      <c r="I618" s="171">
        <f t="shared" si="454"/>
        <v>21791996</v>
      </c>
      <c r="J618" s="216">
        <f t="shared" si="452"/>
        <v>-290000</v>
      </c>
      <c r="K618" s="216"/>
      <c r="L618" s="171">
        <f t="shared" ref="L618" si="455">L619+L626+L633</f>
        <v>21791996</v>
      </c>
    </row>
    <row r="619" spans="1:12" ht="72">
      <c r="A619" s="164" t="s">
        <v>498</v>
      </c>
      <c r="B619" s="163" t="s">
        <v>540</v>
      </c>
      <c r="C619" s="163" t="s">
        <v>117</v>
      </c>
      <c r="D619" s="163" t="s">
        <v>539</v>
      </c>
      <c r="E619" s="169" t="s">
        <v>6</v>
      </c>
      <c r="F619" s="167">
        <f>F620+F622+F624</f>
        <v>4781650</v>
      </c>
      <c r="G619" s="167">
        <f t="shared" ref="G619:I619" si="456">G620+G622+G624</f>
        <v>3406000</v>
      </c>
      <c r="H619" s="167">
        <f t="shared" si="456"/>
        <v>5709242</v>
      </c>
      <c r="I619" s="167">
        <f t="shared" si="456"/>
        <v>5189242</v>
      </c>
      <c r="J619" s="216">
        <f t="shared" si="452"/>
        <v>-520000</v>
      </c>
      <c r="K619" s="216"/>
      <c r="L619" s="167">
        <f t="shared" ref="L619" si="457">L620+L622+L624</f>
        <v>5189242</v>
      </c>
    </row>
    <row r="620" spans="1:12" ht="57.15" customHeight="1">
      <c r="A620" s="164" t="s">
        <v>11</v>
      </c>
      <c r="B620" s="163" t="s">
        <v>540</v>
      </c>
      <c r="C620" s="163" t="s">
        <v>117</v>
      </c>
      <c r="D620" s="163" t="s">
        <v>539</v>
      </c>
      <c r="E620" s="169" t="s">
        <v>12</v>
      </c>
      <c r="F620" s="167">
        <f>F621</f>
        <v>4283650</v>
      </c>
      <c r="G620" s="167">
        <f t="shared" ref="G620:I620" si="458">G621</f>
        <v>3121000</v>
      </c>
      <c r="H620" s="167">
        <f t="shared" si="458"/>
        <v>5089242</v>
      </c>
      <c r="I620" s="182">
        <f t="shared" si="458"/>
        <v>5089242</v>
      </c>
      <c r="J620" s="216">
        <f t="shared" si="452"/>
        <v>0</v>
      </c>
      <c r="K620" s="216"/>
      <c r="L620" s="182">
        <f t="shared" ref="L620" si="459">L621</f>
        <v>5089242</v>
      </c>
    </row>
    <row r="621" spans="1:12" ht="20.25" customHeight="1">
      <c r="A621" s="164" t="s">
        <v>13</v>
      </c>
      <c r="B621" s="163" t="s">
        <v>540</v>
      </c>
      <c r="C621" s="163" t="s">
        <v>117</v>
      </c>
      <c r="D621" s="163" t="s">
        <v>539</v>
      </c>
      <c r="E621" s="169" t="s">
        <v>14</v>
      </c>
      <c r="F621" s="184">
        <v>4283650</v>
      </c>
      <c r="G621" s="184">
        <v>3121000</v>
      </c>
      <c r="H621" s="184">
        <v>5089242</v>
      </c>
      <c r="I621" s="195">
        <v>5089242</v>
      </c>
      <c r="J621" s="216">
        <f t="shared" si="452"/>
        <v>0</v>
      </c>
      <c r="K621" s="216"/>
      <c r="L621" s="195">
        <v>5089242</v>
      </c>
    </row>
    <row r="622" spans="1:12" ht="18.75" customHeight="1">
      <c r="A622" s="164" t="s">
        <v>15</v>
      </c>
      <c r="B622" s="163" t="s">
        <v>540</v>
      </c>
      <c r="C622" s="163" t="s">
        <v>117</v>
      </c>
      <c r="D622" s="163" t="s">
        <v>539</v>
      </c>
      <c r="E622" s="169" t="s">
        <v>16</v>
      </c>
      <c r="F622" s="167">
        <f>F623</f>
        <v>310400</v>
      </c>
      <c r="G622" s="167">
        <f t="shared" ref="G622:I622" si="460">G623</f>
        <v>100000</v>
      </c>
      <c r="H622" s="167">
        <f t="shared" si="460"/>
        <v>620000</v>
      </c>
      <c r="I622" s="182">
        <f t="shared" si="460"/>
        <v>100000</v>
      </c>
      <c r="J622" s="216">
        <f t="shared" si="452"/>
        <v>-520000</v>
      </c>
      <c r="K622" s="216"/>
      <c r="L622" s="182">
        <f t="shared" ref="L622" si="461">L623</f>
        <v>100000</v>
      </c>
    </row>
    <row r="623" spans="1:12" ht="54">
      <c r="A623" s="164" t="s">
        <v>17</v>
      </c>
      <c r="B623" s="163" t="s">
        <v>540</v>
      </c>
      <c r="C623" s="163" t="s">
        <v>117</v>
      </c>
      <c r="D623" s="163" t="s">
        <v>539</v>
      </c>
      <c r="E623" s="169" t="s">
        <v>18</v>
      </c>
      <c r="F623" s="184">
        <v>310400</v>
      </c>
      <c r="G623" s="184">
        <v>100000</v>
      </c>
      <c r="H623" s="184">
        <v>620000</v>
      </c>
      <c r="I623" s="195">
        <f>620000-230000-290000</f>
        <v>100000</v>
      </c>
      <c r="J623" s="216">
        <f t="shared" si="452"/>
        <v>-520000</v>
      </c>
      <c r="K623" s="216"/>
      <c r="L623" s="195">
        <f>620000-230000-290000</f>
        <v>100000</v>
      </c>
    </row>
    <row r="624" spans="1:12">
      <c r="A624" s="164" t="s">
        <v>19</v>
      </c>
      <c r="B624" s="163" t="s">
        <v>540</v>
      </c>
      <c r="C624" s="163" t="s">
        <v>117</v>
      </c>
      <c r="D624" s="163" t="s">
        <v>539</v>
      </c>
      <c r="E624" s="169" t="s">
        <v>20</v>
      </c>
      <c r="F624" s="218">
        <f>F625</f>
        <v>187600</v>
      </c>
      <c r="G624" s="218">
        <f t="shared" ref="G624" si="462">G625</f>
        <v>185000</v>
      </c>
      <c r="H624" s="218">
        <f>H625</f>
        <v>0</v>
      </c>
      <c r="I624" s="204">
        <f>I625</f>
        <v>0</v>
      </c>
      <c r="J624" s="216">
        <f t="shared" si="452"/>
        <v>0</v>
      </c>
      <c r="K624" s="216"/>
      <c r="L624" s="204">
        <f>L625</f>
        <v>0</v>
      </c>
    </row>
    <row r="625" spans="1:12">
      <c r="A625" s="164" t="s">
        <v>21</v>
      </c>
      <c r="B625" s="163" t="s">
        <v>540</v>
      </c>
      <c r="C625" s="163" t="s">
        <v>117</v>
      </c>
      <c r="D625" s="163" t="s">
        <v>539</v>
      </c>
      <c r="E625" s="169" t="s">
        <v>22</v>
      </c>
      <c r="F625" s="184">
        <v>187600</v>
      </c>
      <c r="G625" s="184">
        <v>185000</v>
      </c>
      <c r="H625" s="184">
        <v>0</v>
      </c>
      <c r="I625" s="195">
        <v>0</v>
      </c>
      <c r="J625" s="216">
        <f t="shared" si="452"/>
        <v>0</v>
      </c>
      <c r="K625" s="216"/>
      <c r="L625" s="195">
        <v>0</v>
      </c>
    </row>
    <row r="626" spans="1:12" ht="54">
      <c r="A626" s="164" t="s">
        <v>33</v>
      </c>
      <c r="B626" s="163" t="s">
        <v>540</v>
      </c>
      <c r="C626" s="163" t="s">
        <v>117</v>
      </c>
      <c r="D626" s="163" t="s">
        <v>154</v>
      </c>
      <c r="E626" s="169" t="s">
        <v>6</v>
      </c>
      <c r="F626" s="167">
        <f>F627+F629+F631</f>
        <v>13942200</v>
      </c>
      <c r="G626" s="167">
        <f>G627+G629+G631</f>
        <v>13932000</v>
      </c>
      <c r="H626" s="167">
        <f>H627+H629+H631</f>
        <v>14291221</v>
      </c>
      <c r="I626" s="182">
        <f>I627+I629+I631</f>
        <v>14521221</v>
      </c>
      <c r="J626" s="216">
        <f t="shared" si="452"/>
        <v>230000</v>
      </c>
      <c r="K626" s="216"/>
      <c r="L626" s="182">
        <f>L627+L629+L631</f>
        <v>14521221</v>
      </c>
    </row>
    <row r="627" spans="1:12" ht="57.15" customHeight="1">
      <c r="A627" s="164" t="s">
        <v>11</v>
      </c>
      <c r="B627" s="163" t="s">
        <v>540</v>
      </c>
      <c r="C627" s="163" t="s">
        <v>117</v>
      </c>
      <c r="D627" s="163" t="s">
        <v>154</v>
      </c>
      <c r="E627" s="169" t="s">
        <v>12</v>
      </c>
      <c r="F627" s="167">
        <f>F628</f>
        <v>11192000</v>
      </c>
      <c r="G627" s="167">
        <f t="shared" ref="G627:I627" si="463">G628</f>
        <v>11192000</v>
      </c>
      <c r="H627" s="167">
        <f t="shared" si="463"/>
        <v>11638500</v>
      </c>
      <c r="I627" s="182">
        <f t="shared" si="463"/>
        <v>11638500</v>
      </c>
      <c r="J627" s="216">
        <f t="shared" si="452"/>
        <v>0</v>
      </c>
      <c r="K627" s="216"/>
      <c r="L627" s="182">
        <f t="shared" ref="L627" si="464">L628</f>
        <v>11638500</v>
      </c>
    </row>
    <row r="628" spans="1:12" ht="36">
      <c r="A628" s="164" t="s">
        <v>34</v>
      </c>
      <c r="B628" s="163" t="s">
        <v>540</v>
      </c>
      <c r="C628" s="163" t="s">
        <v>117</v>
      </c>
      <c r="D628" s="163" t="s">
        <v>154</v>
      </c>
      <c r="E628" s="169" t="s">
        <v>35</v>
      </c>
      <c r="F628" s="184">
        <v>11192000</v>
      </c>
      <c r="G628" s="184">
        <v>11192000</v>
      </c>
      <c r="H628" s="184">
        <v>11638500</v>
      </c>
      <c r="I628" s="195">
        <v>11638500</v>
      </c>
      <c r="J628" s="216">
        <f t="shared" si="452"/>
        <v>0</v>
      </c>
      <c r="K628" s="216"/>
      <c r="L628" s="195">
        <v>11638500</v>
      </c>
    </row>
    <row r="629" spans="1:12" ht="19.5" customHeight="1">
      <c r="A629" s="164" t="s">
        <v>15</v>
      </c>
      <c r="B629" s="163" t="s">
        <v>540</v>
      </c>
      <c r="C629" s="163" t="s">
        <v>117</v>
      </c>
      <c r="D629" s="163" t="s">
        <v>154</v>
      </c>
      <c r="E629" s="169" t="s">
        <v>16</v>
      </c>
      <c r="F629" s="167">
        <f>F630</f>
        <v>2708000</v>
      </c>
      <c r="G629" s="167">
        <f t="shared" ref="G629:I629" si="465">G630</f>
        <v>2700000</v>
      </c>
      <c r="H629" s="167">
        <f t="shared" si="465"/>
        <v>2613521</v>
      </c>
      <c r="I629" s="182">
        <f t="shared" si="465"/>
        <v>2843521</v>
      </c>
      <c r="J629" s="216">
        <f t="shared" si="452"/>
        <v>230000</v>
      </c>
      <c r="K629" s="216"/>
      <c r="L629" s="182">
        <f t="shared" ref="L629" si="466">L630</f>
        <v>2843521</v>
      </c>
    </row>
    <row r="630" spans="1:12" ht="54">
      <c r="A630" s="164" t="s">
        <v>17</v>
      </c>
      <c r="B630" s="163" t="s">
        <v>540</v>
      </c>
      <c r="C630" s="163" t="s">
        <v>117</v>
      </c>
      <c r="D630" s="163" t="s">
        <v>154</v>
      </c>
      <c r="E630" s="169" t="s">
        <v>18</v>
      </c>
      <c r="F630" s="184">
        <v>2708000</v>
      </c>
      <c r="G630" s="184">
        <v>2700000</v>
      </c>
      <c r="H630" s="184">
        <v>2613521</v>
      </c>
      <c r="I630" s="195">
        <f>2613521+230000</f>
        <v>2843521</v>
      </c>
      <c r="J630" s="216">
        <f t="shared" si="452"/>
        <v>230000</v>
      </c>
      <c r="K630" s="216"/>
      <c r="L630" s="195">
        <f>2613521+230000</f>
        <v>2843521</v>
      </c>
    </row>
    <row r="631" spans="1:12">
      <c r="A631" s="164" t="s">
        <v>19</v>
      </c>
      <c r="B631" s="163" t="s">
        <v>540</v>
      </c>
      <c r="C631" s="163" t="s">
        <v>117</v>
      </c>
      <c r="D631" s="163" t="s">
        <v>154</v>
      </c>
      <c r="E631" s="169" t="s">
        <v>20</v>
      </c>
      <c r="F631" s="167">
        <f>F632</f>
        <v>42200</v>
      </c>
      <c r="G631" s="167">
        <f t="shared" ref="G631:I631" si="467">G632</f>
        <v>40000</v>
      </c>
      <c r="H631" s="167">
        <f t="shared" si="467"/>
        <v>39200</v>
      </c>
      <c r="I631" s="182">
        <f t="shared" si="467"/>
        <v>39200</v>
      </c>
      <c r="J631" s="216">
        <f t="shared" si="452"/>
        <v>0</v>
      </c>
      <c r="K631" s="216"/>
      <c r="L631" s="182">
        <f t="shared" ref="L631" si="468">L632</f>
        <v>39200</v>
      </c>
    </row>
    <row r="632" spans="1:12">
      <c r="A632" s="164" t="s">
        <v>21</v>
      </c>
      <c r="B632" s="163" t="s">
        <v>540</v>
      </c>
      <c r="C632" s="163" t="s">
        <v>117</v>
      </c>
      <c r="D632" s="163" t="s">
        <v>154</v>
      </c>
      <c r="E632" s="169" t="s">
        <v>22</v>
      </c>
      <c r="F632" s="184">
        <v>42200</v>
      </c>
      <c r="G632" s="184">
        <v>40000</v>
      </c>
      <c r="H632" s="184">
        <v>39200</v>
      </c>
      <c r="I632" s="195">
        <v>39200</v>
      </c>
      <c r="J632" s="216">
        <f t="shared" si="452"/>
        <v>0</v>
      </c>
      <c r="K632" s="216"/>
      <c r="L632" s="195">
        <v>39200</v>
      </c>
    </row>
    <row r="633" spans="1:12" ht="54">
      <c r="A633" s="33" t="s">
        <v>36</v>
      </c>
      <c r="B633" s="163" t="s">
        <v>540</v>
      </c>
      <c r="C633" s="163" t="s">
        <v>117</v>
      </c>
      <c r="D633" s="163" t="s">
        <v>155</v>
      </c>
      <c r="E633" s="169" t="s">
        <v>6</v>
      </c>
      <c r="F633" s="167">
        <f>F634</f>
        <v>2003400</v>
      </c>
      <c r="G633" s="167">
        <f t="shared" ref="G633:I634" si="469">G634</f>
        <v>1851400</v>
      </c>
      <c r="H633" s="167">
        <f t="shared" si="469"/>
        <v>2081533</v>
      </c>
      <c r="I633" s="182">
        <f t="shared" si="469"/>
        <v>2081533</v>
      </c>
      <c r="J633" s="216">
        <f t="shared" si="452"/>
        <v>0</v>
      </c>
      <c r="K633" s="216"/>
      <c r="L633" s="182">
        <f t="shared" ref="L633:L634" si="470">L634</f>
        <v>2081533</v>
      </c>
    </row>
    <row r="634" spans="1:12" ht="54">
      <c r="A634" s="164" t="s">
        <v>37</v>
      </c>
      <c r="B634" s="163" t="s">
        <v>540</v>
      </c>
      <c r="C634" s="163" t="s">
        <v>117</v>
      </c>
      <c r="D634" s="163" t="s">
        <v>155</v>
      </c>
      <c r="E634" s="169" t="s">
        <v>38</v>
      </c>
      <c r="F634" s="167">
        <f>F635</f>
        <v>2003400</v>
      </c>
      <c r="G634" s="167">
        <f t="shared" si="469"/>
        <v>1851400</v>
      </c>
      <c r="H634" s="167">
        <f t="shared" si="469"/>
        <v>2081533</v>
      </c>
      <c r="I634" s="182">
        <f t="shared" si="469"/>
        <v>2081533</v>
      </c>
      <c r="J634" s="216">
        <f t="shared" si="452"/>
        <v>0</v>
      </c>
      <c r="K634" s="216"/>
      <c r="L634" s="182">
        <f t="shared" si="470"/>
        <v>2081533</v>
      </c>
    </row>
    <row r="635" spans="1:12">
      <c r="A635" s="164" t="s">
        <v>39</v>
      </c>
      <c r="B635" s="163" t="s">
        <v>540</v>
      </c>
      <c r="C635" s="163" t="s">
        <v>117</v>
      </c>
      <c r="D635" s="163" t="s">
        <v>155</v>
      </c>
      <c r="E635" s="169" t="s">
        <v>40</v>
      </c>
      <c r="F635" s="184">
        <v>2003400</v>
      </c>
      <c r="G635" s="184">
        <v>1851400</v>
      </c>
      <c r="H635" s="184">
        <v>2081533</v>
      </c>
      <c r="I635" s="195">
        <v>2081533</v>
      </c>
      <c r="J635" s="216">
        <f t="shared" si="452"/>
        <v>0</v>
      </c>
      <c r="K635" s="216"/>
      <c r="L635" s="195">
        <v>2081533</v>
      </c>
    </row>
    <row r="636" spans="1:12">
      <c r="A636" s="196" t="s">
        <v>85</v>
      </c>
      <c r="B636" s="197" t="s">
        <v>540</v>
      </c>
      <c r="C636" s="197" t="s">
        <v>86</v>
      </c>
      <c r="D636" s="197" t="s">
        <v>126</v>
      </c>
      <c r="E636" s="198" t="s">
        <v>6</v>
      </c>
      <c r="F636" s="171">
        <f>F637+F643</f>
        <v>5864117</v>
      </c>
      <c r="G636" s="171">
        <f t="shared" ref="G636:H636" si="471">G637+G643</f>
        <v>4126179</v>
      </c>
      <c r="H636" s="171">
        <f t="shared" si="471"/>
        <v>4489069</v>
      </c>
      <c r="I636" s="199">
        <f t="shared" ref="I636" si="472">I637+I643</f>
        <v>4489069</v>
      </c>
      <c r="J636" s="216">
        <f t="shared" si="452"/>
        <v>0</v>
      </c>
      <c r="K636" s="216"/>
      <c r="L636" s="199">
        <f t="shared" ref="L636" si="473">L637+L643</f>
        <v>4489069</v>
      </c>
    </row>
    <row r="637" spans="1:12">
      <c r="A637" s="164" t="s">
        <v>94</v>
      </c>
      <c r="B637" s="163" t="s">
        <v>540</v>
      </c>
      <c r="C637" s="163" t="s">
        <v>95</v>
      </c>
      <c r="D637" s="163" t="s">
        <v>126</v>
      </c>
      <c r="E637" s="169" t="s">
        <v>6</v>
      </c>
      <c r="F637" s="167">
        <f>F638</f>
        <v>2460000</v>
      </c>
      <c r="G637" s="167">
        <f t="shared" ref="G637:I641" si="474">G638</f>
        <v>2460000</v>
      </c>
      <c r="H637" s="167">
        <f t="shared" si="474"/>
        <v>1310000</v>
      </c>
      <c r="I637" s="182">
        <f t="shared" si="474"/>
        <v>1310000</v>
      </c>
      <c r="J637" s="216">
        <f t="shared" si="452"/>
        <v>0</v>
      </c>
      <c r="K637" s="216"/>
      <c r="L637" s="182">
        <f t="shared" ref="L637:L641" si="475">L638</f>
        <v>1310000</v>
      </c>
    </row>
    <row r="638" spans="1:12" ht="72">
      <c r="A638" s="196" t="s">
        <v>395</v>
      </c>
      <c r="B638" s="197" t="s">
        <v>540</v>
      </c>
      <c r="C638" s="197" t="s">
        <v>95</v>
      </c>
      <c r="D638" s="197" t="s">
        <v>138</v>
      </c>
      <c r="E638" s="198" t="s">
        <v>6</v>
      </c>
      <c r="F638" s="171">
        <f>F639</f>
        <v>2460000</v>
      </c>
      <c r="G638" s="171">
        <f t="shared" ref="G638:I639" si="476">G639</f>
        <v>2460000</v>
      </c>
      <c r="H638" s="171">
        <f t="shared" si="476"/>
        <v>1310000</v>
      </c>
      <c r="I638" s="199">
        <f t="shared" si="476"/>
        <v>1310000</v>
      </c>
      <c r="J638" s="216">
        <f t="shared" si="452"/>
        <v>0</v>
      </c>
      <c r="K638" s="216"/>
      <c r="L638" s="199">
        <f t="shared" si="475"/>
        <v>1310000</v>
      </c>
    </row>
    <row r="639" spans="1:12">
      <c r="A639" s="200" t="s">
        <v>752</v>
      </c>
      <c r="B639" s="163" t="s">
        <v>540</v>
      </c>
      <c r="C639" s="163" t="s">
        <v>95</v>
      </c>
      <c r="D639" s="163" t="s">
        <v>750</v>
      </c>
      <c r="E639" s="169" t="s">
        <v>6</v>
      </c>
      <c r="F639" s="167">
        <f>F640</f>
        <v>2460000</v>
      </c>
      <c r="G639" s="167">
        <f t="shared" si="476"/>
        <v>2460000</v>
      </c>
      <c r="H639" s="167">
        <f t="shared" si="476"/>
        <v>1310000</v>
      </c>
      <c r="I639" s="182">
        <f t="shared" si="476"/>
        <v>1310000</v>
      </c>
      <c r="J639" s="216">
        <f t="shared" si="452"/>
        <v>0</v>
      </c>
      <c r="K639" s="216"/>
      <c r="L639" s="182">
        <f t="shared" si="475"/>
        <v>1310000</v>
      </c>
    </row>
    <row r="640" spans="1:12" ht="144">
      <c r="A640" s="187" t="s">
        <v>405</v>
      </c>
      <c r="B640" s="163" t="s">
        <v>540</v>
      </c>
      <c r="C640" s="163" t="s">
        <v>95</v>
      </c>
      <c r="D640" s="163" t="s">
        <v>751</v>
      </c>
      <c r="E640" s="169" t="s">
        <v>6</v>
      </c>
      <c r="F640" s="167">
        <f>F641</f>
        <v>2460000</v>
      </c>
      <c r="G640" s="167">
        <f t="shared" si="474"/>
        <v>2460000</v>
      </c>
      <c r="H640" s="167">
        <f t="shared" si="474"/>
        <v>1310000</v>
      </c>
      <c r="I640" s="182">
        <f t="shared" si="474"/>
        <v>1310000</v>
      </c>
      <c r="J640" s="216">
        <f t="shared" si="452"/>
        <v>0</v>
      </c>
      <c r="K640" s="216"/>
      <c r="L640" s="182">
        <f t="shared" si="475"/>
        <v>1310000</v>
      </c>
    </row>
    <row r="641" spans="1:12" ht="36">
      <c r="A641" s="164" t="s">
        <v>90</v>
      </c>
      <c r="B641" s="163" t="s">
        <v>540</v>
      </c>
      <c r="C641" s="163" t="s">
        <v>95</v>
      </c>
      <c r="D641" s="163" t="s">
        <v>751</v>
      </c>
      <c r="E641" s="169" t="s">
        <v>91</v>
      </c>
      <c r="F641" s="167">
        <f>F642</f>
        <v>2460000</v>
      </c>
      <c r="G641" s="167">
        <f t="shared" si="474"/>
        <v>2460000</v>
      </c>
      <c r="H641" s="167">
        <f t="shared" si="474"/>
        <v>1310000</v>
      </c>
      <c r="I641" s="182">
        <f t="shared" si="474"/>
        <v>1310000</v>
      </c>
      <c r="J641" s="216">
        <f t="shared" si="452"/>
        <v>0</v>
      </c>
      <c r="K641" s="216"/>
      <c r="L641" s="182">
        <f t="shared" si="475"/>
        <v>1310000</v>
      </c>
    </row>
    <row r="642" spans="1:12" ht="54">
      <c r="A642" s="164" t="s">
        <v>97</v>
      </c>
      <c r="B642" s="163" t="s">
        <v>540</v>
      </c>
      <c r="C642" s="163" t="s">
        <v>95</v>
      </c>
      <c r="D642" s="163" t="s">
        <v>751</v>
      </c>
      <c r="E642" s="169" t="s">
        <v>98</v>
      </c>
      <c r="F642" s="184">
        <v>2460000</v>
      </c>
      <c r="G642" s="184">
        <v>2460000</v>
      </c>
      <c r="H642" s="184">
        <v>1310000</v>
      </c>
      <c r="I642" s="195">
        <v>1310000</v>
      </c>
      <c r="J642" s="216">
        <f t="shared" si="452"/>
        <v>0</v>
      </c>
      <c r="K642" s="216"/>
      <c r="L642" s="195">
        <v>1310000</v>
      </c>
    </row>
    <row r="643" spans="1:12">
      <c r="A643" s="164" t="s">
        <v>123</v>
      </c>
      <c r="B643" s="163" t="s">
        <v>540</v>
      </c>
      <c r="C643" s="163" t="s">
        <v>124</v>
      </c>
      <c r="D643" s="163" t="s">
        <v>126</v>
      </c>
      <c r="E643" s="169" t="s">
        <v>6</v>
      </c>
      <c r="F643" s="167">
        <f t="shared" ref="F643:I644" si="477">F644</f>
        <v>3404117</v>
      </c>
      <c r="G643" s="167">
        <f t="shared" si="477"/>
        <v>1666179</v>
      </c>
      <c r="H643" s="167">
        <f t="shared" si="477"/>
        <v>3179069</v>
      </c>
      <c r="I643" s="182">
        <f t="shared" si="477"/>
        <v>3179069</v>
      </c>
      <c r="J643" s="216">
        <f t="shared" si="452"/>
        <v>0</v>
      </c>
      <c r="K643" s="216"/>
      <c r="L643" s="182">
        <f t="shared" ref="L643:L646" si="478">L644</f>
        <v>3179069</v>
      </c>
    </row>
    <row r="644" spans="1:12" ht="72">
      <c r="A644" s="196" t="s">
        <v>404</v>
      </c>
      <c r="B644" s="197" t="s">
        <v>540</v>
      </c>
      <c r="C644" s="197" t="s">
        <v>124</v>
      </c>
      <c r="D644" s="197" t="s">
        <v>138</v>
      </c>
      <c r="E644" s="198" t="s">
        <v>6</v>
      </c>
      <c r="F644" s="171">
        <f t="shared" si="477"/>
        <v>3404117</v>
      </c>
      <c r="G644" s="171">
        <f t="shared" si="477"/>
        <v>1666179</v>
      </c>
      <c r="H644" s="171">
        <f t="shared" si="477"/>
        <v>3179069</v>
      </c>
      <c r="I644" s="199">
        <f t="shared" si="477"/>
        <v>3179069</v>
      </c>
      <c r="J644" s="216">
        <f t="shared" si="452"/>
        <v>0</v>
      </c>
      <c r="K644" s="216"/>
      <c r="L644" s="199">
        <f t="shared" si="478"/>
        <v>3179069</v>
      </c>
    </row>
    <row r="645" spans="1:12" ht="54">
      <c r="A645" s="164" t="s">
        <v>396</v>
      </c>
      <c r="B645" s="163" t="s">
        <v>540</v>
      </c>
      <c r="C645" s="163" t="s">
        <v>124</v>
      </c>
      <c r="D645" s="163" t="s">
        <v>139</v>
      </c>
      <c r="E645" s="169" t="s">
        <v>6</v>
      </c>
      <c r="F645" s="167">
        <f t="shared" ref="F645:I646" si="479">F646</f>
        <v>3404117</v>
      </c>
      <c r="G645" s="167">
        <f t="shared" si="479"/>
        <v>1666179</v>
      </c>
      <c r="H645" s="167">
        <f t="shared" si="479"/>
        <v>3179069</v>
      </c>
      <c r="I645" s="182">
        <f t="shared" si="479"/>
        <v>3179069</v>
      </c>
      <c r="J645" s="216">
        <f t="shared" si="452"/>
        <v>0</v>
      </c>
      <c r="K645" s="216"/>
      <c r="L645" s="182">
        <f t="shared" si="478"/>
        <v>3179069</v>
      </c>
    </row>
    <row r="646" spans="1:12" ht="36">
      <c r="A646" s="200" t="s">
        <v>204</v>
      </c>
      <c r="B646" s="163" t="s">
        <v>540</v>
      </c>
      <c r="C646" s="163" t="s">
        <v>124</v>
      </c>
      <c r="D646" s="163" t="s">
        <v>234</v>
      </c>
      <c r="E646" s="169" t="s">
        <v>6</v>
      </c>
      <c r="F646" s="167">
        <f t="shared" si="479"/>
        <v>3404117</v>
      </c>
      <c r="G646" s="167">
        <f t="shared" si="479"/>
        <v>1666179</v>
      </c>
      <c r="H646" s="167">
        <f t="shared" si="479"/>
        <v>3179069</v>
      </c>
      <c r="I646" s="182">
        <f t="shared" si="479"/>
        <v>3179069</v>
      </c>
      <c r="J646" s="216">
        <f t="shared" si="452"/>
        <v>0</v>
      </c>
      <c r="K646" s="216"/>
      <c r="L646" s="182">
        <f t="shared" si="478"/>
        <v>3179069</v>
      </c>
    </row>
    <row r="647" spans="1:12" ht="112.65" customHeight="1">
      <c r="A647" s="187" t="s">
        <v>668</v>
      </c>
      <c r="B647" s="163" t="s">
        <v>540</v>
      </c>
      <c r="C647" s="163" t="s">
        <v>124</v>
      </c>
      <c r="D647" s="163" t="s">
        <v>156</v>
      </c>
      <c r="E647" s="169" t="s">
        <v>6</v>
      </c>
      <c r="F647" s="167">
        <f>F650+F648</f>
        <v>3404117</v>
      </c>
      <c r="G647" s="167">
        <f>G650</f>
        <v>1666179</v>
      </c>
      <c r="H647" s="167">
        <f>H650</f>
        <v>3179069</v>
      </c>
      <c r="I647" s="182">
        <f>I650</f>
        <v>3179069</v>
      </c>
      <c r="J647" s="216">
        <f t="shared" si="452"/>
        <v>0</v>
      </c>
      <c r="K647" s="216"/>
      <c r="L647" s="182">
        <f>L650</f>
        <v>3179069</v>
      </c>
    </row>
    <row r="648" spans="1:12" ht="57.15" customHeight="1">
      <c r="A648" s="164" t="s">
        <v>15</v>
      </c>
      <c r="B648" s="163" t="s">
        <v>540</v>
      </c>
      <c r="C648" s="163" t="s">
        <v>124</v>
      </c>
      <c r="D648" s="163" t="s">
        <v>156</v>
      </c>
      <c r="E648" s="163" t="s">
        <v>16</v>
      </c>
      <c r="F648" s="167">
        <f>F649</f>
        <v>24000</v>
      </c>
      <c r="G648" s="167">
        <v>0</v>
      </c>
      <c r="H648" s="167">
        <v>0</v>
      </c>
      <c r="I648" s="182"/>
      <c r="J648" s="216">
        <f t="shared" si="452"/>
        <v>0</v>
      </c>
      <c r="K648" s="216"/>
      <c r="L648" s="182"/>
    </row>
    <row r="649" spans="1:12" ht="57.15" customHeight="1">
      <c r="A649" s="164" t="s">
        <v>17</v>
      </c>
      <c r="B649" s="163" t="s">
        <v>540</v>
      </c>
      <c r="C649" s="163" t="s">
        <v>124</v>
      </c>
      <c r="D649" s="163" t="s">
        <v>156</v>
      </c>
      <c r="E649" s="163" t="s">
        <v>18</v>
      </c>
      <c r="F649" s="167">
        <v>24000</v>
      </c>
      <c r="G649" s="167">
        <v>0</v>
      </c>
      <c r="H649" s="167">
        <v>0</v>
      </c>
      <c r="I649" s="182"/>
      <c r="J649" s="216">
        <f t="shared" si="452"/>
        <v>0</v>
      </c>
      <c r="K649" s="216"/>
      <c r="L649" s="182"/>
    </row>
    <row r="650" spans="1:12" ht="36">
      <c r="A650" s="164" t="s">
        <v>90</v>
      </c>
      <c r="B650" s="163" t="s">
        <v>540</v>
      </c>
      <c r="C650" s="163" t="s">
        <v>124</v>
      </c>
      <c r="D650" s="163" t="s">
        <v>156</v>
      </c>
      <c r="E650" s="169" t="s">
        <v>91</v>
      </c>
      <c r="F650" s="167">
        <f>F651</f>
        <v>3380117</v>
      </c>
      <c r="G650" s="167">
        <f t="shared" ref="G650:I650" si="480">G651</f>
        <v>1666179</v>
      </c>
      <c r="H650" s="167">
        <f t="shared" si="480"/>
        <v>3179069</v>
      </c>
      <c r="I650" s="182">
        <f t="shared" si="480"/>
        <v>3179069</v>
      </c>
      <c r="J650" s="216">
        <f t="shared" si="452"/>
        <v>0</v>
      </c>
      <c r="K650" s="216"/>
      <c r="L650" s="182">
        <f t="shared" ref="L650" si="481">L651</f>
        <v>3179069</v>
      </c>
    </row>
    <row r="651" spans="1:12" ht="54">
      <c r="A651" s="164" t="s">
        <v>97</v>
      </c>
      <c r="B651" s="163" t="s">
        <v>540</v>
      </c>
      <c r="C651" s="163" t="s">
        <v>124</v>
      </c>
      <c r="D651" s="163" t="s">
        <v>156</v>
      </c>
      <c r="E651" s="169" t="s">
        <v>98</v>
      </c>
      <c r="F651" s="184">
        <v>3380117</v>
      </c>
      <c r="G651" s="184">
        <v>1666179</v>
      </c>
      <c r="H651" s="184">
        <v>3179069</v>
      </c>
      <c r="I651" s="195">
        <v>3179069</v>
      </c>
      <c r="J651" s="216">
        <f t="shared" si="452"/>
        <v>0</v>
      </c>
      <c r="K651" s="216"/>
      <c r="L651" s="195">
        <v>3179069</v>
      </c>
    </row>
    <row r="652" spans="1:12">
      <c r="A652" s="196" t="s">
        <v>100</v>
      </c>
      <c r="B652" s="163" t="s">
        <v>540</v>
      </c>
      <c r="C652" s="163" t="s">
        <v>101</v>
      </c>
      <c r="D652" s="197" t="s">
        <v>126</v>
      </c>
      <c r="E652" s="169" t="s">
        <v>6</v>
      </c>
      <c r="F652" s="184">
        <f t="shared" ref="F652:I657" si="482">F653</f>
        <v>4493121.6500000004</v>
      </c>
      <c r="G652" s="184">
        <f t="shared" si="482"/>
        <v>410974</v>
      </c>
      <c r="H652" s="184">
        <f t="shared" si="482"/>
        <v>410974</v>
      </c>
      <c r="I652" s="184">
        <f t="shared" si="482"/>
        <v>0</v>
      </c>
      <c r="J652" s="216">
        <f t="shared" si="452"/>
        <v>-410974</v>
      </c>
      <c r="K652" s="216"/>
      <c r="L652" s="184">
        <f t="shared" ref="L652:L657" si="483">L653</f>
        <v>0</v>
      </c>
    </row>
    <row r="653" spans="1:12">
      <c r="A653" s="164" t="s">
        <v>301</v>
      </c>
      <c r="B653" s="163" t="s">
        <v>540</v>
      </c>
      <c r="C653" s="163" t="s">
        <v>300</v>
      </c>
      <c r="D653" s="197" t="s">
        <v>126</v>
      </c>
      <c r="E653" s="169" t="s">
        <v>6</v>
      </c>
      <c r="F653" s="184">
        <f t="shared" si="482"/>
        <v>4493121.6500000004</v>
      </c>
      <c r="G653" s="184">
        <f t="shared" si="482"/>
        <v>410974</v>
      </c>
      <c r="H653" s="184">
        <f t="shared" si="482"/>
        <v>410974</v>
      </c>
      <c r="I653" s="195">
        <f t="shared" si="482"/>
        <v>0</v>
      </c>
      <c r="J653" s="216">
        <f t="shared" si="452"/>
        <v>-410974</v>
      </c>
      <c r="K653" s="216"/>
      <c r="L653" s="195">
        <f t="shared" si="483"/>
        <v>0</v>
      </c>
    </row>
    <row r="654" spans="1:12" ht="72">
      <c r="A654" s="196" t="s">
        <v>377</v>
      </c>
      <c r="B654" s="163" t="s">
        <v>540</v>
      </c>
      <c r="C654" s="163" t="s">
        <v>300</v>
      </c>
      <c r="D654" s="197" t="s">
        <v>200</v>
      </c>
      <c r="E654" s="169" t="s">
        <v>6</v>
      </c>
      <c r="F654" s="184">
        <f t="shared" si="482"/>
        <v>4493121.6500000004</v>
      </c>
      <c r="G654" s="184">
        <f t="shared" si="482"/>
        <v>410974</v>
      </c>
      <c r="H654" s="184">
        <f t="shared" si="482"/>
        <v>410974</v>
      </c>
      <c r="I654" s="195">
        <f t="shared" si="482"/>
        <v>0</v>
      </c>
      <c r="J654" s="216">
        <f t="shared" si="452"/>
        <v>-410974</v>
      </c>
      <c r="K654" s="216"/>
      <c r="L654" s="195">
        <f t="shared" si="483"/>
        <v>0</v>
      </c>
    </row>
    <row r="655" spans="1:12" ht="54">
      <c r="A655" s="164" t="s">
        <v>213</v>
      </c>
      <c r="B655" s="163" t="s">
        <v>540</v>
      </c>
      <c r="C655" s="163" t="s">
        <v>300</v>
      </c>
      <c r="D655" s="163" t="s">
        <v>685</v>
      </c>
      <c r="E655" s="169" t="s">
        <v>6</v>
      </c>
      <c r="F655" s="184">
        <f t="shared" si="482"/>
        <v>4493121.6500000004</v>
      </c>
      <c r="G655" s="184">
        <f t="shared" si="482"/>
        <v>410974</v>
      </c>
      <c r="H655" s="184">
        <f t="shared" si="482"/>
        <v>410974</v>
      </c>
      <c r="I655" s="195">
        <f t="shared" si="482"/>
        <v>0</v>
      </c>
      <c r="J655" s="216">
        <f t="shared" si="452"/>
        <v>-410974</v>
      </c>
      <c r="K655" s="216"/>
      <c r="L655" s="195">
        <f t="shared" si="483"/>
        <v>0</v>
      </c>
    </row>
    <row r="656" spans="1:12" ht="36">
      <c r="A656" s="164" t="s">
        <v>378</v>
      </c>
      <c r="B656" s="163" t="s">
        <v>540</v>
      </c>
      <c r="C656" s="163" t="s">
        <v>300</v>
      </c>
      <c r="D656" s="163" t="s">
        <v>303</v>
      </c>
      <c r="E656" s="169" t="s">
        <v>6</v>
      </c>
      <c r="F656" s="184">
        <f>F657+F660+F663</f>
        <v>4493121.6500000004</v>
      </c>
      <c r="G656" s="184">
        <f t="shared" ref="G656:I656" si="484">G657+G660+G663</f>
        <v>410974</v>
      </c>
      <c r="H656" s="184">
        <f t="shared" si="484"/>
        <v>410974</v>
      </c>
      <c r="I656" s="184">
        <f t="shared" si="484"/>
        <v>0</v>
      </c>
      <c r="J656" s="216">
        <f t="shared" si="452"/>
        <v>-410974</v>
      </c>
      <c r="K656" s="216"/>
      <c r="L656" s="184">
        <f t="shared" ref="L656" si="485">L657+L660+L663</f>
        <v>0</v>
      </c>
    </row>
    <row r="657" spans="1:12" ht="54">
      <c r="A657" s="164" t="s">
        <v>281</v>
      </c>
      <c r="B657" s="163" t="s">
        <v>540</v>
      </c>
      <c r="C657" s="163" t="s">
        <v>300</v>
      </c>
      <c r="D657" s="163" t="s">
        <v>302</v>
      </c>
      <c r="E657" s="169" t="s">
        <v>6</v>
      </c>
      <c r="F657" s="184">
        <f t="shared" ref="F657:F658" si="486">F658</f>
        <v>4493121.6500000004</v>
      </c>
      <c r="G657" s="184">
        <f t="shared" si="482"/>
        <v>410974</v>
      </c>
      <c r="H657" s="184">
        <f t="shared" si="482"/>
        <v>410974</v>
      </c>
      <c r="I657" s="195">
        <f t="shared" si="482"/>
        <v>0</v>
      </c>
      <c r="J657" s="216">
        <f t="shared" si="452"/>
        <v>-410974</v>
      </c>
      <c r="K657" s="216"/>
      <c r="L657" s="195">
        <f t="shared" si="483"/>
        <v>0</v>
      </c>
    </row>
    <row r="658" spans="1:12" ht="54">
      <c r="A658" s="164" t="s">
        <v>37</v>
      </c>
      <c r="B658" s="163" t="s">
        <v>540</v>
      </c>
      <c r="C658" s="163" t="s">
        <v>300</v>
      </c>
      <c r="D658" s="163" t="s">
        <v>302</v>
      </c>
      <c r="E658" s="169" t="s">
        <v>38</v>
      </c>
      <c r="F658" s="184">
        <f t="shared" si="486"/>
        <v>4493121.6500000004</v>
      </c>
      <c r="G658" s="184">
        <f>G659</f>
        <v>410974</v>
      </c>
      <c r="H658" s="184">
        <f>H659</f>
        <v>410974</v>
      </c>
      <c r="I658" s="195">
        <f>I659</f>
        <v>0</v>
      </c>
      <c r="J658" s="216">
        <f t="shared" si="452"/>
        <v>-410974</v>
      </c>
      <c r="K658" s="216"/>
      <c r="L658" s="195">
        <f>L659</f>
        <v>0</v>
      </c>
    </row>
    <row r="659" spans="1:12">
      <c r="A659" s="164" t="s">
        <v>74</v>
      </c>
      <c r="B659" s="163" t="s">
        <v>540</v>
      </c>
      <c r="C659" s="163" t="s">
        <v>300</v>
      </c>
      <c r="D659" s="163" t="s">
        <v>302</v>
      </c>
      <c r="E659" s="169" t="s">
        <v>75</v>
      </c>
      <c r="F659" s="111">
        <v>4493121.6500000004</v>
      </c>
      <c r="G659" s="184">
        <v>410974</v>
      </c>
      <c r="H659" s="184">
        <v>410974</v>
      </c>
      <c r="I659" s="195">
        <v>0</v>
      </c>
      <c r="J659" s="216">
        <f t="shared" si="452"/>
        <v>-410974</v>
      </c>
      <c r="K659" s="216"/>
      <c r="L659" s="195">
        <v>0</v>
      </c>
    </row>
    <row r="660" spans="1:12" ht="72">
      <c r="A660" s="164" t="s">
        <v>778</v>
      </c>
      <c r="B660" s="163" t="s">
        <v>540</v>
      </c>
      <c r="C660" s="163" t="s">
        <v>300</v>
      </c>
      <c r="D660" s="163" t="s">
        <v>779</v>
      </c>
      <c r="E660" s="169" t="s">
        <v>6</v>
      </c>
      <c r="F660" s="111">
        <f>F661</f>
        <v>0</v>
      </c>
      <c r="G660" s="111">
        <f t="shared" ref="G660:I661" si="487">G661</f>
        <v>0</v>
      </c>
      <c r="H660" s="111">
        <f t="shared" si="487"/>
        <v>0</v>
      </c>
      <c r="I660" s="111">
        <f t="shared" si="487"/>
        <v>0</v>
      </c>
      <c r="J660" s="216">
        <f t="shared" si="452"/>
        <v>0</v>
      </c>
      <c r="K660" s="216"/>
      <c r="L660" s="111">
        <f t="shared" ref="L660:L661" si="488">L661</f>
        <v>0</v>
      </c>
    </row>
    <row r="661" spans="1:12" ht="54">
      <c r="A661" s="164" t="s">
        <v>37</v>
      </c>
      <c r="B661" s="163" t="s">
        <v>540</v>
      </c>
      <c r="C661" s="163" t="s">
        <v>300</v>
      </c>
      <c r="D661" s="163" t="s">
        <v>779</v>
      </c>
      <c r="E661" s="169" t="s">
        <v>38</v>
      </c>
      <c r="F661" s="111">
        <f>F662</f>
        <v>0</v>
      </c>
      <c r="G661" s="111">
        <f t="shared" si="487"/>
        <v>0</v>
      </c>
      <c r="H661" s="111">
        <f t="shared" si="487"/>
        <v>0</v>
      </c>
      <c r="I661" s="111">
        <f t="shared" si="487"/>
        <v>0</v>
      </c>
      <c r="J661" s="216">
        <f t="shared" si="452"/>
        <v>0</v>
      </c>
      <c r="K661" s="216"/>
      <c r="L661" s="111">
        <f t="shared" si="488"/>
        <v>0</v>
      </c>
    </row>
    <row r="662" spans="1:12">
      <c r="A662" s="164" t="s">
        <v>74</v>
      </c>
      <c r="B662" s="163" t="s">
        <v>540</v>
      </c>
      <c r="C662" s="163" t="s">
        <v>300</v>
      </c>
      <c r="D662" s="163" t="s">
        <v>779</v>
      </c>
      <c r="E662" s="169" t="s">
        <v>75</v>
      </c>
      <c r="F662" s="111">
        <v>0</v>
      </c>
      <c r="G662" s="184">
        <v>0</v>
      </c>
      <c r="H662" s="184"/>
      <c r="I662" s="195"/>
      <c r="J662" s="216">
        <f t="shared" si="452"/>
        <v>0</v>
      </c>
      <c r="K662" s="216"/>
      <c r="L662" s="195"/>
    </row>
    <row r="663" spans="1:12" ht="85.65" customHeight="1">
      <c r="A663" s="164" t="s">
        <v>791</v>
      </c>
      <c r="B663" s="163" t="s">
        <v>540</v>
      </c>
      <c r="C663" s="163" t="s">
        <v>300</v>
      </c>
      <c r="D663" s="163" t="s">
        <v>790</v>
      </c>
      <c r="E663" s="169" t="s">
        <v>6</v>
      </c>
      <c r="F663" s="111">
        <f>F664</f>
        <v>0</v>
      </c>
      <c r="G663" s="111">
        <f t="shared" ref="G663:I664" si="489">G664</f>
        <v>0</v>
      </c>
      <c r="H663" s="111">
        <f t="shared" si="489"/>
        <v>0</v>
      </c>
      <c r="I663" s="111">
        <f t="shared" si="489"/>
        <v>0</v>
      </c>
      <c r="J663" s="216">
        <f t="shared" si="452"/>
        <v>0</v>
      </c>
      <c r="K663" s="216"/>
      <c r="L663" s="111">
        <f t="shared" ref="L663:L664" si="490">L664</f>
        <v>0</v>
      </c>
    </row>
    <row r="664" spans="1:12" ht="26.4" customHeight="1">
      <c r="A664" s="164" t="s">
        <v>37</v>
      </c>
      <c r="B664" s="163" t="s">
        <v>540</v>
      </c>
      <c r="C664" s="163" t="s">
        <v>300</v>
      </c>
      <c r="D664" s="163" t="s">
        <v>790</v>
      </c>
      <c r="E664" s="169" t="s">
        <v>38</v>
      </c>
      <c r="F664" s="111">
        <f>F665</f>
        <v>0</v>
      </c>
      <c r="G664" s="111">
        <f t="shared" si="489"/>
        <v>0</v>
      </c>
      <c r="H664" s="111">
        <f t="shared" si="489"/>
        <v>0</v>
      </c>
      <c r="I664" s="111">
        <f t="shared" si="489"/>
        <v>0</v>
      </c>
      <c r="J664" s="216">
        <f t="shared" si="452"/>
        <v>0</v>
      </c>
      <c r="K664" s="216"/>
      <c r="L664" s="111">
        <f t="shared" si="490"/>
        <v>0</v>
      </c>
    </row>
    <row r="665" spans="1:12" ht="26.4" customHeight="1">
      <c r="A665" s="164" t="s">
        <v>74</v>
      </c>
      <c r="B665" s="163" t="s">
        <v>540</v>
      </c>
      <c r="C665" s="163" t="s">
        <v>300</v>
      </c>
      <c r="D665" s="163" t="s">
        <v>790</v>
      </c>
      <c r="E665" s="169" t="s">
        <v>75</v>
      </c>
      <c r="F665" s="111"/>
      <c r="G665" s="184"/>
      <c r="H665" s="184"/>
      <c r="I665" s="195"/>
      <c r="J665" s="216">
        <f t="shared" si="452"/>
        <v>0</v>
      </c>
      <c r="K665" s="216"/>
      <c r="L665" s="195"/>
    </row>
    <row r="666" spans="1:12" ht="34.799999999999997">
      <c r="A666" s="225" t="s">
        <v>764</v>
      </c>
      <c r="B666" s="226">
        <v>959</v>
      </c>
      <c r="C666" s="227" t="s">
        <v>5</v>
      </c>
      <c r="D666" s="227" t="s">
        <v>126</v>
      </c>
      <c r="E666" s="227" t="s">
        <v>6</v>
      </c>
      <c r="F666" s="228">
        <f>F667</f>
        <v>588570</v>
      </c>
      <c r="G666" s="228">
        <f t="shared" ref="G666:I667" si="491">G667</f>
        <v>1252217</v>
      </c>
      <c r="H666" s="228">
        <f t="shared" si="491"/>
        <v>1998700</v>
      </c>
      <c r="I666" s="229">
        <f t="shared" si="491"/>
        <v>1420000</v>
      </c>
      <c r="J666" s="216">
        <f t="shared" si="452"/>
        <v>-578700</v>
      </c>
      <c r="K666" s="216"/>
      <c r="L666" s="229">
        <f t="shared" ref="L666:L668" si="492">L667</f>
        <v>1420000</v>
      </c>
    </row>
    <row r="667" spans="1:12">
      <c r="A667" s="164" t="s">
        <v>7</v>
      </c>
      <c r="B667" s="163" t="s">
        <v>765</v>
      </c>
      <c r="C667" s="163" t="s">
        <v>8</v>
      </c>
      <c r="D667" s="163" t="s">
        <v>126</v>
      </c>
      <c r="E667" s="163" t="s">
        <v>6</v>
      </c>
      <c r="F667" s="218">
        <f>F668</f>
        <v>588570</v>
      </c>
      <c r="G667" s="218">
        <f t="shared" si="491"/>
        <v>1252217</v>
      </c>
      <c r="H667" s="218">
        <f t="shared" si="491"/>
        <v>1998700</v>
      </c>
      <c r="I667" s="204">
        <f t="shared" si="491"/>
        <v>1420000</v>
      </c>
      <c r="J667" s="216">
        <f t="shared" si="452"/>
        <v>-578700</v>
      </c>
      <c r="K667" s="216"/>
      <c r="L667" s="204">
        <f t="shared" si="492"/>
        <v>1420000</v>
      </c>
    </row>
    <row r="668" spans="1:12" ht="72">
      <c r="A668" s="164" t="s">
        <v>9</v>
      </c>
      <c r="B668" s="163" t="s">
        <v>765</v>
      </c>
      <c r="C668" s="163" t="s">
        <v>10</v>
      </c>
      <c r="D668" s="163" t="s">
        <v>126</v>
      </c>
      <c r="E668" s="163" t="s">
        <v>6</v>
      </c>
      <c r="F668" s="167">
        <f t="shared" ref="F668:I668" si="493">F669</f>
        <v>588570</v>
      </c>
      <c r="G668" s="167">
        <f t="shared" si="493"/>
        <v>1252217</v>
      </c>
      <c r="H668" s="167">
        <f t="shared" si="493"/>
        <v>1998700</v>
      </c>
      <c r="I668" s="182">
        <f t="shared" si="493"/>
        <v>1420000</v>
      </c>
      <c r="J668" s="216">
        <f t="shared" si="452"/>
        <v>-578700</v>
      </c>
      <c r="K668" s="216"/>
      <c r="L668" s="182">
        <f t="shared" si="492"/>
        <v>1420000</v>
      </c>
    </row>
    <row r="669" spans="1:12" ht="36">
      <c r="A669" s="164" t="s">
        <v>132</v>
      </c>
      <c r="B669" s="163" t="s">
        <v>765</v>
      </c>
      <c r="C669" s="163" t="s">
        <v>10</v>
      </c>
      <c r="D669" s="163" t="s">
        <v>127</v>
      </c>
      <c r="E669" s="163" t="s">
        <v>6</v>
      </c>
      <c r="F669" s="167">
        <f>F670+F673</f>
        <v>588570</v>
      </c>
      <c r="G669" s="167">
        <f t="shared" ref="G669:I669" si="494">G670+G673</f>
        <v>1252217</v>
      </c>
      <c r="H669" s="167">
        <f t="shared" si="494"/>
        <v>1998700</v>
      </c>
      <c r="I669" s="182">
        <f t="shared" si="494"/>
        <v>1420000</v>
      </c>
      <c r="J669" s="216">
        <f t="shared" si="452"/>
        <v>-578700</v>
      </c>
      <c r="K669" s="216"/>
      <c r="L669" s="182">
        <f t="shared" ref="L669" si="495">L670+L673</f>
        <v>1420000</v>
      </c>
    </row>
    <row r="670" spans="1:12">
      <c r="A670" s="164" t="s">
        <v>766</v>
      </c>
      <c r="B670" s="163" t="s">
        <v>765</v>
      </c>
      <c r="C670" s="163" t="s">
        <v>10</v>
      </c>
      <c r="D670" s="163" t="s">
        <v>143</v>
      </c>
      <c r="E670" s="163" t="s">
        <v>6</v>
      </c>
      <c r="F670" s="167">
        <f>F671</f>
        <v>319630</v>
      </c>
      <c r="G670" s="167">
        <f t="shared" ref="G670:I671" si="496">G671</f>
        <v>1252217</v>
      </c>
      <c r="H670" s="167">
        <f t="shared" si="496"/>
        <v>1265600</v>
      </c>
      <c r="I670" s="182">
        <f t="shared" si="496"/>
        <v>1140000</v>
      </c>
      <c r="J670" s="216">
        <f t="shared" si="452"/>
        <v>-125600</v>
      </c>
      <c r="K670" s="216"/>
      <c r="L670" s="182">
        <f t="shared" ref="L670:L671" si="497">L671</f>
        <v>1140000</v>
      </c>
    </row>
    <row r="671" spans="1:12" ht="108">
      <c r="A671" s="164" t="s">
        <v>11</v>
      </c>
      <c r="B671" s="163" t="s">
        <v>765</v>
      </c>
      <c r="C671" s="163" t="s">
        <v>10</v>
      </c>
      <c r="D671" s="163" t="s">
        <v>143</v>
      </c>
      <c r="E671" s="163" t="s">
        <v>12</v>
      </c>
      <c r="F671" s="167">
        <f>F672</f>
        <v>319630</v>
      </c>
      <c r="G671" s="167">
        <f t="shared" si="496"/>
        <v>1252217</v>
      </c>
      <c r="H671" s="167">
        <f t="shared" si="496"/>
        <v>1265600</v>
      </c>
      <c r="I671" s="182">
        <f t="shared" si="496"/>
        <v>1140000</v>
      </c>
      <c r="J671" s="216">
        <f t="shared" si="452"/>
        <v>-125600</v>
      </c>
      <c r="K671" s="216"/>
      <c r="L671" s="182">
        <f t="shared" si="497"/>
        <v>1140000</v>
      </c>
    </row>
    <row r="672" spans="1:12" ht="54">
      <c r="A672" s="164" t="s">
        <v>13</v>
      </c>
      <c r="B672" s="163" t="s">
        <v>765</v>
      </c>
      <c r="C672" s="163" t="s">
        <v>10</v>
      </c>
      <c r="D672" s="163" t="s">
        <v>143</v>
      </c>
      <c r="E672" s="163" t="s">
        <v>14</v>
      </c>
      <c r="F672" s="184">
        <v>319630</v>
      </c>
      <c r="G672" s="167">
        <f>1252217</f>
        <v>1252217</v>
      </c>
      <c r="H672" s="184">
        <v>1265600</v>
      </c>
      <c r="I672" s="195">
        <v>1140000</v>
      </c>
      <c r="J672" s="216">
        <f t="shared" si="452"/>
        <v>-125600</v>
      </c>
      <c r="K672" s="216"/>
      <c r="L672" s="195">
        <v>1140000</v>
      </c>
    </row>
    <row r="673" spans="1:14" ht="72">
      <c r="A673" s="164" t="s">
        <v>498</v>
      </c>
      <c r="B673" s="163" t="s">
        <v>765</v>
      </c>
      <c r="C673" s="163" t="s">
        <v>10</v>
      </c>
      <c r="D673" s="163" t="s">
        <v>499</v>
      </c>
      <c r="E673" s="163" t="s">
        <v>6</v>
      </c>
      <c r="F673" s="184">
        <f>F674+F676</f>
        <v>268940</v>
      </c>
      <c r="G673" s="184">
        <f t="shared" ref="G673:I673" si="498">G674+G676</f>
        <v>0</v>
      </c>
      <c r="H673" s="184">
        <f t="shared" si="498"/>
        <v>733100</v>
      </c>
      <c r="I673" s="195">
        <f t="shared" si="498"/>
        <v>280000</v>
      </c>
      <c r="J673" s="216">
        <f t="shared" si="452"/>
        <v>-453100</v>
      </c>
      <c r="K673" s="216"/>
      <c r="L673" s="195">
        <f t="shared" ref="L673" si="499">L674+L676</f>
        <v>280000</v>
      </c>
    </row>
    <row r="674" spans="1:14" ht="108">
      <c r="A674" s="164" t="s">
        <v>11</v>
      </c>
      <c r="B674" s="163" t="s">
        <v>765</v>
      </c>
      <c r="C674" s="163" t="s">
        <v>10</v>
      </c>
      <c r="D674" s="163" t="s">
        <v>499</v>
      </c>
      <c r="E674" s="163" t="s">
        <v>12</v>
      </c>
      <c r="F674" s="184">
        <f>F675</f>
        <v>172940</v>
      </c>
      <c r="G674" s="184">
        <f t="shared" ref="G674:I674" si="500">G675</f>
        <v>0</v>
      </c>
      <c r="H674" s="184">
        <f t="shared" si="500"/>
        <v>703100</v>
      </c>
      <c r="I674" s="195">
        <f t="shared" si="500"/>
        <v>200000</v>
      </c>
      <c r="J674" s="216">
        <f t="shared" si="452"/>
        <v>-503100</v>
      </c>
      <c r="K674" s="216"/>
      <c r="L674" s="195">
        <f t="shared" ref="L674" si="501">L675</f>
        <v>200000</v>
      </c>
    </row>
    <row r="675" spans="1:14" ht="54">
      <c r="A675" s="164" t="s">
        <v>13</v>
      </c>
      <c r="B675" s="163" t="s">
        <v>765</v>
      </c>
      <c r="C675" s="163" t="s">
        <v>10</v>
      </c>
      <c r="D675" s="163" t="s">
        <v>499</v>
      </c>
      <c r="E675" s="163" t="s">
        <v>14</v>
      </c>
      <c r="F675" s="184">
        <v>172940</v>
      </c>
      <c r="G675" s="184"/>
      <c r="H675" s="184">
        <v>703100</v>
      </c>
      <c r="I675" s="195">
        <v>200000</v>
      </c>
      <c r="J675" s="216">
        <f t="shared" si="452"/>
        <v>-503100</v>
      </c>
      <c r="K675" s="216"/>
      <c r="L675" s="195">
        <v>200000</v>
      </c>
    </row>
    <row r="676" spans="1:14" ht="36">
      <c r="A676" s="164" t="s">
        <v>15</v>
      </c>
      <c r="B676" s="163" t="s">
        <v>765</v>
      </c>
      <c r="C676" s="163" t="s">
        <v>10</v>
      </c>
      <c r="D676" s="163" t="s">
        <v>499</v>
      </c>
      <c r="E676" s="163" t="s">
        <v>16</v>
      </c>
      <c r="F676" s="184">
        <f>F677</f>
        <v>96000</v>
      </c>
      <c r="G676" s="184">
        <f t="shared" ref="G676:I676" si="502">G677</f>
        <v>0</v>
      </c>
      <c r="H676" s="184">
        <f t="shared" si="502"/>
        <v>30000</v>
      </c>
      <c r="I676" s="195">
        <f t="shared" si="502"/>
        <v>80000</v>
      </c>
      <c r="J676" s="216">
        <f t="shared" si="452"/>
        <v>50000</v>
      </c>
      <c r="K676" s="216"/>
      <c r="L676" s="195">
        <f t="shared" ref="L676" si="503">L677</f>
        <v>80000</v>
      </c>
    </row>
    <row r="677" spans="1:14" ht="54">
      <c r="A677" s="164" t="s">
        <v>17</v>
      </c>
      <c r="B677" s="163" t="s">
        <v>765</v>
      </c>
      <c r="C677" s="163" t="s">
        <v>10</v>
      </c>
      <c r="D677" s="163" t="s">
        <v>499</v>
      </c>
      <c r="E677" s="163" t="s">
        <v>18</v>
      </c>
      <c r="F677" s="184">
        <v>96000</v>
      </c>
      <c r="G677" s="184"/>
      <c r="H677" s="184">
        <v>30000</v>
      </c>
      <c r="I677" s="195">
        <v>80000</v>
      </c>
      <c r="J677" s="216">
        <f t="shared" si="452"/>
        <v>50000</v>
      </c>
      <c r="K677" s="216"/>
      <c r="L677" s="195">
        <v>80000</v>
      </c>
      <c r="N677" s="4"/>
    </row>
    <row r="678" spans="1:14" ht="17.399999999999999">
      <c r="A678" s="366" t="s">
        <v>118</v>
      </c>
      <c r="B678" s="366"/>
      <c r="C678" s="366"/>
      <c r="D678" s="366"/>
      <c r="E678" s="366"/>
      <c r="F678" s="215">
        <f>F14+F36+F457+F496+F666</f>
        <v>1079317856.4000001</v>
      </c>
      <c r="G678" s="215">
        <f>G14+G36+G457+G496+G666</f>
        <v>713467158.88999999</v>
      </c>
      <c r="H678" s="215">
        <f>H14+H36+H457+H496+H666</f>
        <v>967274636.67000008</v>
      </c>
      <c r="I678" s="215">
        <f>I14+I36+I457+I496+I666</f>
        <v>953447409.71000004</v>
      </c>
      <c r="J678" s="215">
        <f t="shared" ref="J678" si="504">J14+J36+J457+J496+J666</f>
        <v>-13827226.960000038</v>
      </c>
      <c r="K678" s="215">
        <f>SUM(K14:K677)</f>
        <v>0</v>
      </c>
      <c r="L678" s="215">
        <f>I678+K678</f>
        <v>953447409.71000004</v>
      </c>
    </row>
    <row r="679" spans="1:14">
      <c r="H679" s="4">
        <f>'прил 7  динамика'!E68-потребность!H678</f>
        <v>-25179917.450000167</v>
      </c>
      <c r="I679" s="4">
        <f>'прил 7  динамика'!E68-потребность!I678</f>
        <v>-11352690.490000129</v>
      </c>
    </row>
    <row r="680" spans="1:14">
      <c r="D680" s="22" t="s">
        <v>448</v>
      </c>
      <c r="G680" s="52">
        <f>'прил 8'!C13</f>
        <v>426818000</v>
      </c>
      <c r="H680" s="52">
        <f>'прил 7  динамика'!E13</f>
        <v>434727000</v>
      </c>
      <c r="I680" s="139">
        <f>'прил 7  динамика'!E13</f>
        <v>434727000</v>
      </c>
      <c r="N680" s="4"/>
    </row>
    <row r="681" spans="1:14">
      <c r="D681" s="22" t="s">
        <v>542</v>
      </c>
      <c r="G681" s="52">
        <f>G128+G181+G187+G235+G410+G505+G544+G547+G640+G647+G573+G569+G540+G370+G305+G297+G160+G403+G660+G605+G560+G320+G53</f>
        <v>419314140.44999993</v>
      </c>
      <c r="H681" s="52">
        <f>H128+H181+H187+H235+H410+H505+H544+H547+H640+H647+H573+H569+H540+H370+H305+H297+H160+H403+H660+H605+H560+H320+H53</f>
        <v>466653016.88999999</v>
      </c>
      <c r="I681" s="52">
        <f>I128+I181+I187+I235+I410+I505+I544+I547+I640+I647+I573+I569+I540+I370+I305+I297+I160+I403+I660+I605+I560+I320+I53+40328000-173500-33760.38</f>
        <v>506664470.21999997</v>
      </c>
    </row>
    <row r="682" spans="1:14">
      <c r="D682" s="51" t="s">
        <v>767</v>
      </c>
      <c r="G682" s="153">
        <f>G680+G681</f>
        <v>846132140.44999993</v>
      </c>
      <c r="H682" s="153">
        <f>H680+H681</f>
        <v>901380016.88999999</v>
      </c>
      <c r="I682" s="153">
        <f>I680+I681</f>
        <v>941391470.22000003</v>
      </c>
      <c r="N682" s="4"/>
    </row>
    <row r="683" spans="1:14">
      <c r="I683" s="4"/>
    </row>
    <row r="684" spans="1:14">
      <c r="H684" s="52"/>
      <c r="I684" s="52"/>
      <c r="N684" s="4"/>
    </row>
    <row r="685" spans="1:14">
      <c r="H685" s="52"/>
      <c r="I685" s="52"/>
      <c r="N685" s="4"/>
    </row>
    <row r="686" spans="1:14">
      <c r="H686" s="52"/>
      <c r="I686" s="52"/>
    </row>
    <row r="687" spans="1:14">
      <c r="H687" s="52"/>
      <c r="I687" s="4"/>
    </row>
    <row r="688" spans="1:14">
      <c r="C688" s="125" t="s">
        <v>8</v>
      </c>
      <c r="G688" s="52">
        <f>G15+G37+G458</f>
        <v>99324525.599999994</v>
      </c>
      <c r="H688" s="52">
        <f>H15+H37+H458</f>
        <v>199319869.74000001</v>
      </c>
      <c r="I688" s="52">
        <f>I15+I37+I458+I667</f>
        <v>199369869.73999998</v>
      </c>
      <c r="J688" s="52">
        <f t="shared" ref="J688:L688" si="505">J15+J37+J458+J667</f>
        <v>-1948700.0000000298</v>
      </c>
      <c r="K688" s="52">
        <f t="shared" si="505"/>
        <v>0</v>
      </c>
      <c r="L688" s="52">
        <f t="shared" si="505"/>
        <v>137238719.74000001</v>
      </c>
    </row>
    <row r="689" spans="1:12">
      <c r="C689" s="125" t="s">
        <v>26</v>
      </c>
      <c r="G689" s="52">
        <f>G157</f>
        <v>1348180</v>
      </c>
      <c r="H689" s="52">
        <f>H157</f>
        <v>1591180</v>
      </c>
      <c r="I689" s="52">
        <f>I157</f>
        <v>1591180</v>
      </c>
      <c r="J689" s="52">
        <f t="shared" ref="J689:L689" si="506">J157</f>
        <v>0</v>
      </c>
      <c r="K689" s="52">
        <f t="shared" si="506"/>
        <v>0</v>
      </c>
      <c r="L689" s="52">
        <f t="shared" si="506"/>
        <v>1591180</v>
      </c>
    </row>
    <row r="690" spans="1:12">
      <c r="C690" s="125" t="s">
        <v>42</v>
      </c>
      <c r="G690" s="52">
        <f>G167</f>
        <v>440000</v>
      </c>
      <c r="H690" s="52">
        <f>H167</f>
        <v>1805000</v>
      </c>
      <c r="I690" s="52">
        <f>I167</f>
        <v>991747.04</v>
      </c>
      <c r="J690" s="52">
        <f t="shared" ref="J690:L690" si="507">J167</f>
        <v>-813252.96</v>
      </c>
      <c r="K690" s="52">
        <f t="shared" si="507"/>
        <v>0</v>
      </c>
      <c r="L690" s="52">
        <f t="shared" si="507"/>
        <v>991747.04</v>
      </c>
    </row>
    <row r="691" spans="1:12">
      <c r="C691" s="125" t="s">
        <v>46</v>
      </c>
      <c r="G691" s="52">
        <f>G178</f>
        <v>12961514.17</v>
      </c>
      <c r="H691" s="52">
        <f>H178</f>
        <v>16011114.17</v>
      </c>
      <c r="I691" s="52">
        <f>I178</f>
        <v>13211114.17</v>
      </c>
      <c r="J691" s="52">
        <f t="shared" ref="J691:L691" si="508">J178</f>
        <v>-2800000</v>
      </c>
      <c r="K691" s="52">
        <f t="shared" si="508"/>
        <v>0</v>
      </c>
      <c r="L691" s="52">
        <f t="shared" si="508"/>
        <v>37422264.170000002</v>
      </c>
    </row>
    <row r="692" spans="1:12">
      <c r="C692" s="125" t="s">
        <v>55</v>
      </c>
      <c r="G692" s="52">
        <f>G227</f>
        <v>30324715.140000001</v>
      </c>
      <c r="H692" s="52">
        <f>H227</f>
        <v>47118494.18</v>
      </c>
      <c r="I692" s="52">
        <f>I227</f>
        <v>41846494.18</v>
      </c>
      <c r="J692" s="52">
        <f t="shared" ref="J692:L692" si="509">J227</f>
        <v>-5272000</v>
      </c>
      <c r="K692" s="52">
        <f t="shared" si="509"/>
        <v>0</v>
      </c>
      <c r="L692" s="52">
        <f t="shared" si="509"/>
        <v>76906494.180000007</v>
      </c>
    </row>
    <row r="693" spans="1:12">
      <c r="C693" s="125" t="s">
        <v>65</v>
      </c>
      <c r="G693" s="52">
        <f>G326</f>
        <v>515000</v>
      </c>
      <c r="H693" s="52">
        <f>H326</f>
        <v>515000</v>
      </c>
      <c r="I693" s="52">
        <f>I326</f>
        <v>515000</v>
      </c>
      <c r="J693" s="52">
        <f t="shared" ref="J693:L693" si="510">J326</f>
        <v>0</v>
      </c>
      <c r="K693" s="52">
        <f t="shared" si="510"/>
        <v>0</v>
      </c>
      <c r="L693" s="52">
        <f t="shared" si="510"/>
        <v>515000</v>
      </c>
    </row>
    <row r="694" spans="1:12">
      <c r="C694" s="125" t="s">
        <v>70</v>
      </c>
      <c r="G694" s="52">
        <f>G342+G497</f>
        <v>512100956.51000005</v>
      </c>
      <c r="H694" s="52">
        <f>H342+H497</f>
        <v>612665896.35000002</v>
      </c>
      <c r="I694" s="52">
        <f>I342+I497</f>
        <v>609783596.35000002</v>
      </c>
      <c r="J694" s="52">
        <f t="shared" ref="J694:L694" si="511">J342+J497</f>
        <v>-2882300</v>
      </c>
      <c r="K694" s="52">
        <f t="shared" si="511"/>
        <v>0</v>
      </c>
      <c r="L694" s="52">
        <f t="shared" si="511"/>
        <v>612183596.35000002</v>
      </c>
    </row>
    <row r="695" spans="1:12">
      <c r="C695" s="125" t="s">
        <v>80</v>
      </c>
      <c r="G695" s="52">
        <f>G356</f>
        <v>25799948.490000002</v>
      </c>
      <c r="H695" s="52">
        <f>H356</f>
        <v>33962060.940000005</v>
      </c>
      <c r="I695" s="52">
        <f>I356</f>
        <v>34062060.940000005</v>
      </c>
      <c r="J695" s="52">
        <f t="shared" ref="J695:L695" si="512">J356</f>
        <v>100000</v>
      </c>
      <c r="K695" s="52">
        <f t="shared" si="512"/>
        <v>0</v>
      </c>
      <c r="L695" s="52">
        <f t="shared" si="512"/>
        <v>34522060.940000005</v>
      </c>
    </row>
    <row r="696" spans="1:12">
      <c r="C696" s="125" t="s">
        <v>86</v>
      </c>
      <c r="G696" s="52">
        <f>G387+G636</f>
        <v>26150817.98</v>
      </c>
      <c r="H696" s="52">
        <f>H387+H636</f>
        <v>46812788.289999999</v>
      </c>
      <c r="I696" s="52">
        <f>I387+I636</f>
        <v>46812788.289999999</v>
      </c>
      <c r="J696" s="52">
        <f t="shared" ref="J696:L696" si="513">J387+J636</f>
        <v>0</v>
      </c>
      <c r="K696" s="52">
        <f t="shared" si="513"/>
        <v>0</v>
      </c>
      <c r="L696" s="52">
        <f t="shared" si="513"/>
        <v>46812788.289999999</v>
      </c>
    </row>
    <row r="697" spans="1:12">
      <c r="C697" s="125" t="s">
        <v>101</v>
      </c>
      <c r="G697" s="52">
        <f>G426+G652</f>
        <v>2249284</v>
      </c>
      <c r="H697" s="52">
        <f>H426+H652</f>
        <v>2974533</v>
      </c>
      <c r="I697" s="52">
        <f>I426+I652</f>
        <v>2763559</v>
      </c>
      <c r="J697" s="52">
        <f t="shared" ref="J697:L697" si="514">J426+J652</f>
        <v>-210974</v>
      </c>
      <c r="K697" s="52">
        <f t="shared" si="514"/>
        <v>0</v>
      </c>
      <c r="L697" s="52">
        <f t="shared" si="514"/>
        <v>2763559</v>
      </c>
    </row>
    <row r="698" spans="1:12">
      <c r="C698" s="22">
        <v>1200</v>
      </c>
      <c r="G698" s="52">
        <f>G450</f>
        <v>1000000</v>
      </c>
      <c r="H698" s="52">
        <f>H450</f>
        <v>2500000</v>
      </c>
      <c r="I698" s="52">
        <f>I450</f>
        <v>2500000</v>
      </c>
      <c r="J698" s="52">
        <f t="shared" ref="J698:L698" si="515">J450</f>
        <v>0</v>
      </c>
      <c r="K698" s="52">
        <f t="shared" si="515"/>
        <v>0</v>
      </c>
      <c r="L698" s="52">
        <f t="shared" si="515"/>
        <v>2500000</v>
      </c>
    </row>
    <row r="699" spans="1:12" s="129" customFormat="1" ht="17.399999999999999">
      <c r="A699" s="126"/>
      <c r="B699" s="127"/>
      <c r="C699" s="127"/>
      <c r="D699" s="127"/>
      <c r="E699" s="127"/>
      <c r="F699" s="127"/>
      <c r="G699" s="128">
        <f>SUM(G688:G698)</f>
        <v>712214941.8900001</v>
      </c>
      <c r="H699" s="128">
        <f>SUM(H688:H698)</f>
        <v>965275936.67000008</v>
      </c>
      <c r="I699" s="128">
        <f>SUM(I688:I698)</f>
        <v>953447409.71000004</v>
      </c>
      <c r="J699" s="128">
        <f t="shared" ref="J699:L699" si="516">SUM(J688:J698)</f>
        <v>-13827226.960000031</v>
      </c>
      <c r="K699" s="128">
        <f t="shared" si="516"/>
        <v>0</v>
      </c>
      <c r="L699" s="128">
        <f t="shared" si="516"/>
        <v>953447409.71000004</v>
      </c>
    </row>
    <row r="700" spans="1:12">
      <c r="I700" s="4"/>
    </row>
    <row r="701" spans="1:12">
      <c r="I701" s="4"/>
    </row>
    <row r="702" spans="1:12">
      <c r="I702" s="4"/>
    </row>
    <row r="703" spans="1:12">
      <c r="D703" s="22" t="s">
        <v>449</v>
      </c>
      <c r="G703" s="154">
        <f>G392+G413+G418</f>
        <v>19100255.949999999</v>
      </c>
      <c r="H703" s="154">
        <f>H392+H413+H418</f>
        <v>26218976.039999999</v>
      </c>
      <c r="I703" s="154">
        <f>I392+I413+I418</f>
        <v>26218976.039999999</v>
      </c>
      <c r="J703" s="154">
        <f t="shared" ref="J703:L703" si="517">J392+J413+J418</f>
        <v>0</v>
      </c>
      <c r="K703" s="154">
        <f t="shared" si="517"/>
        <v>0</v>
      </c>
      <c r="L703" s="154">
        <f t="shared" si="517"/>
        <v>26218976.039999999</v>
      </c>
    </row>
    <row r="704" spans="1:12">
      <c r="I704" s="4"/>
    </row>
    <row r="705" spans="1:12">
      <c r="I705" s="4"/>
    </row>
    <row r="706" spans="1:12">
      <c r="A706" s="22"/>
      <c r="E706" s="22" t="s">
        <v>795</v>
      </c>
      <c r="G706" s="139">
        <f>G673+G670+G619+G471+G464+G461+G111+G45+G40+G18</f>
        <v>74810218</v>
      </c>
      <c r="H706" s="139">
        <f t="shared" ref="H706" si="518">H673+H670+H619+H471+H464+H461+H111+H45+H40+H18</f>
        <v>79923079.810000002</v>
      </c>
      <c r="I706" s="139">
        <f>I673+I619+I471+I464+I461+I111+I45+I40+I18</f>
        <v>77684379.810000002</v>
      </c>
      <c r="J706" s="139">
        <f t="shared" ref="J706:L706" si="519">J673+J619+J471+J464+J461+J111+J45+J40+J18</f>
        <v>-973100</v>
      </c>
      <c r="K706" s="139">
        <f t="shared" si="519"/>
        <v>0</v>
      </c>
      <c r="L706" s="139">
        <f t="shared" si="519"/>
        <v>77684379.810000002</v>
      </c>
    </row>
    <row r="707" spans="1:12">
      <c r="A707" s="22"/>
      <c r="G707" s="22"/>
      <c r="H707" s="22"/>
      <c r="I707" s="4"/>
    </row>
    <row r="708" spans="1:12">
      <c r="A708" s="22"/>
      <c r="E708" s="22" t="s">
        <v>796</v>
      </c>
      <c r="F708" s="22">
        <v>24.46</v>
      </c>
      <c r="G708" s="139"/>
      <c r="H708" s="139"/>
      <c r="I708" s="139">
        <f>'прил 7  динамика'!E13*24.46%</f>
        <v>106334224.2</v>
      </c>
    </row>
    <row r="709" spans="1:12">
      <c r="A709" s="22"/>
      <c r="G709" s="139"/>
      <c r="H709" s="139"/>
      <c r="I709" s="4">
        <f>I708-I706</f>
        <v>28649844.390000001</v>
      </c>
    </row>
    <row r="710" spans="1:12">
      <c r="A710" s="22"/>
      <c r="G710" s="22"/>
      <c r="H710" s="22"/>
      <c r="I710" s="4"/>
    </row>
    <row r="711" spans="1:12">
      <c r="A711" s="22"/>
      <c r="C711" s="22" t="s">
        <v>797</v>
      </c>
      <c r="E711" s="364">
        <v>2035800</v>
      </c>
      <c r="F711" s="364"/>
      <c r="G711" s="139">
        <f>F42</f>
        <v>2523500</v>
      </c>
      <c r="H711" s="139">
        <f t="shared" ref="H711:I711" si="520">G42</f>
        <v>2463500</v>
      </c>
      <c r="I711" s="139">
        <f t="shared" si="520"/>
        <v>2846266</v>
      </c>
    </row>
    <row r="712" spans="1:12">
      <c r="A712" s="22"/>
      <c r="C712" s="22" t="s">
        <v>672</v>
      </c>
      <c r="E712" s="364">
        <v>2035800</v>
      </c>
      <c r="F712" s="364"/>
      <c r="G712" s="139">
        <f>F463</f>
        <v>2328541</v>
      </c>
      <c r="H712" s="139">
        <f t="shared" ref="H712:I712" si="521">G463</f>
        <v>2207541</v>
      </c>
      <c r="I712" s="139">
        <f t="shared" si="521"/>
        <v>2517857.96</v>
      </c>
    </row>
    <row r="713" spans="1:12">
      <c r="A713" s="22"/>
      <c r="C713" s="22" t="s">
        <v>798</v>
      </c>
      <c r="E713" s="364">
        <v>1399600</v>
      </c>
      <c r="F713" s="364"/>
      <c r="G713" s="139">
        <f>G672</f>
        <v>1252217</v>
      </c>
      <c r="H713" s="139">
        <f t="shared" ref="H713:I713" si="522">H672</f>
        <v>1265600</v>
      </c>
      <c r="I713" s="139">
        <f t="shared" si="522"/>
        <v>1140000</v>
      </c>
    </row>
    <row r="714" spans="1:12">
      <c r="A714" s="22"/>
      <c r="G714" s="22"/>
      <c r="H714" s="22"/>
      <c r="I714" s="4"/>
    </row>
    <row r="715" spans="1:12">
      <c r="A715" s="22"/>
      <c r="C715" s="22" t="s">
        <v>799</v>
      </c>
      <c r="F715" s="139">
        <f>I678*3%</f>
        <v>28603422.291299999</v>
      </c>
      <c r="G715" s="139">
        <f>I678*3%</f>
        <v>28603422.291299999</v>
      </c>
      <c r="H715" s="22"/>
      <c r="I715" s="4"/>
    </row>
    <row r="716" spans="1:12">
      <c r="A716" s="22"/>
      <c r="G716" s="22"/>
      <c r="H716" s="22"/>
      <c r="I716" s="4">
        <f>I706+I711+I712+I713</f>
        <v>84188503.769999996</v>
      </c>
    </row>
    <row r="717" spans="1:12">
      <c r="A717" s="22"/>
      <c r="G717" s="22"/>
      <c r="H717" s="22"/>
      <c r="I717" s="4"/>
    </row>
    <row r="718" spans="1:12">
      <c r="A718" s="22"/>
      <c r="G718" s="22"/>
      <c r="H718" s="22"/>
      <c r="I718" s="4"/>
    </row>
    <row r="719" spans="1:12">
      <c r="A719" s="22"/>
      <c r="G719" s="22"/>
      <c r="H719" s="22"/>
      <c r="I719" s="4"/>
    </row>
    <row r="720" spans="1:12">
      <c r="A720" s="22"/>
      <c r="G720" s="22"/>
      <c r="H720" s="22"/>
      <c r="I720" s="4"/>
    </row>
    <row r="721" spans="1:9">
      <c r="A721" s="22"/>
      <c r="G721" s="22"/>
      <c r="H721" s="22"/>
      <c r="I721" s="4"/>
    </row>
    <row r="722" spans="1:9">
      <c r="A722" s="22"/>
      <c r="G722" s="22"/>
      <c r="H722" s="22"/>
      <c r="I722" s="4"/>
    </row>
    <row r="723" spans="1:9">
      <c r="A723" s="22"/>
      <c r="G723" s="22"/>
      <c r="H723" s="22"/>
      <c r="I723" s="4"/>
    </row>
    <row r="724" spans="1:9">
      <c r="A724" s="22"/>
      <c r="G724" s="22"/>
      <c r="H724" s="22"/>
      <c r="I724" s="4"/>
    </row>
    <row r="725" spans="1:9">
      <c r="A725" s="22"/>
      <c r="G725" s="22"/>
      <c r="H725" s="22"/>
      <c r="I725" s="4"/>
    </row>
    <row r="726" spans="1:9">
      <c r="A726" s="22"/>
      <c r="G726" s="22"/>
      <c r="H726" s="22"/>
      <c r="I726" s="4"/>
    </row>
    <row r="727" spans="1:9">
      <c r="A727" s="22"/>
      <c r="G727" s="22"/>
      <c r="H727" s="22"/>
      <c r="I727" s="4"/>
    </row>
    <row r="728" spans="1:9">
      <c r="A728" s="22"/>
      <c r="G728" s="22"/>
      <c r="H728" s="22"/>
      <c r="I728" s="4"/>
    </row>
    <row r="729" spans="1:9">
      <c r="A729" s="22"/>
      <c r="G729" s="22"/>
      <c r="H729" s="22"/>
      <c r="I729" s="4"/>
    </row>
    <row r="730" spans="1:9">
      <c r="A730" s="22"/>
      <c r="G730" s="22"/>
      <c r="H730" s="22"/>
      <c r="I730" s="4"/>
    </row>
    <row r="731" spans="1:9">
      <c r="A731" s="22"/>
      <c r="G731" s="22"/>
      <c r="H731" s="22"/>
      <c r="I731" s="4"/>
    </row>
    <row r="732" spans="1:9">
      <c r="A732" s="22"/>
      <c r="G732" s="22"/>
      <c r="H732" s="22"/>
      <c r="I732" s="4"/>
    </row>
    <row r="733" spans="1:9">
      <c r="A733" s="22"/>
      <c r="G733" s="22"/>
      <c r="H733" s="22"/>
      <c r="I733" s="4"/>
    </row>
    <row r="734" spans="1:9">
      <c r="A734" s="22"/>
      <c r="G734" s="22"/>
      <c r="H734" s="22"/>
      <c r="I734" s="4"/>
    </row>
    <row r="735" spans="1:9">
      <c r="A735" s="22"/>
      <c r="G735" s="22"/>
      <c r="H735" s="22"/>
      <c r="I735" s="4"/>
    </row>
    <row r="736" spans="1:9">
      <c r="A736" s="22"/>
      <c r="G736" s="22"/>
      <c r="H736" s="22"/>
      <c r="I736" s="4"/>
    </row>
    <row r="737" spans="1:9">
      <c r="A737" s="22"/>
      <c r="G737" s="22"/>
      <c r="H737" s="22"/>
      <c r="I737" s="4"/>
    </row>
    <row r="738" spans="1:9">
      <c r="A738" s="22"/>
      <c r="G738" s="22"/>
      <c r="H738" s="22"/>
      <c r="I738" s="4"/>
    </row>
    <row r="739" spans="1:9">
      <c r="A739" s="22"/>
      <c r="G739" s="22"/>
      <c r="H739" s="22"/>
      <c r="I739" s="4"/>
    </row>
    <row r="740" spans="1:9">
      <c r="A740" s="22"/>
      <c r="G740" s="22"/>
      <c r="H740" s="22"/>
      <c r="I740" s="4"/>
    </row>
    <row r="741" spans="1:9">
      <c r="A741" s="22"/>
      <c r="G741" s="22"/>
      <c r="H741" s="22"/>
      <c r="I741" s="4"/>
    </row>
    <row r="742" spans="1:9">
      <c r="A742" s="22"/>
      <c r="G742" s="22"/>
      <c r="H742" s="22"/>
      <c r="I742" s="4"/>
    </row>
    <row r="743" spans="1:9">
      <c r="A743" s="22"/>
      <c r="G743" s="22"/>
      <c r="H743" s="22"/>
      <c r="I743" s="4"/>
    </row>
    <row r="744" spans="1:9">
      <c r="A744" s="22"/>
      <c r="G744" s="22"/>
      <c r="H744" s="22"/>
      <c r="I744" s="4"/>
    </row>
    <row r="745" spans="1:9">
      <c r="A745" s="22"/>
      <c r="G745" s="22"/>
      <c r="H745" s="22"/>
      <c r="I745" s="4"/>
    </row>
    <row r="746" spans="1:9">
      <c r="A746" s="22"/>
      <c r="G746" s="22"/>
      <c r="H746" s="22"/>
      <c r="I746" s="4"/>
    </row>
    <row r="747" spans="1:9">
      <c r="A747" s="22"/>
      <c r="G747" s="22"/>
      <c r="H747" s="22"/>
      <c r="I747" s="4"/>
    </row>
    <row r="748" spans="1:9">
      <c r="A748" s="22"/>
      <c r="G748" s="22"/>
      <c r="H748" s="22"/>
      <c r="I748" s="4"/>
    </row>
    <row r="749" spans="1:9">
      <c r="A749" s="22"/>
      <c r="G749" s="22"/>
      <c r="H749" s="22"/>
      <c r="I749" s="4"/>
    </row>
    <row r="750" spans="1:9">
      <c r="A750" s="22"/>
      <c r="G750" s="22"/>
      <c r="H750" s="22"/>
      <c r="I750" s="4"/>
    </row>
    <row r="751" spans="1:9">
      <c r="A751" s="22"/>
      <c r="G751" s="22"/>
      <c r="H751" s="22"/>
      <c r="I751" s="4"/>
    </row>
    <row r="752" spans="1:9">
      <c r="A752" s="22"/>
      <c r="G752" s="22"/>
      <c r="H752" s="22"/>
      <c r="I752" s="4"/>
    </row>
    <row r="753" spans="1:9">
      <c r="A753" s="22"/>
      <c r="G753" s="22"/>
      <c r="H753" s="22"/>
      <c r="I753" s="4"/>
    </row>
    <row r="754" spans="1:9">
      <c r="A754" s="22"/>
      <c r="G754" s="22"/>
      <c r="H754" s="22"/>
      <c r="I754" s="4"/>
    </row>
    <row r="755" spans="1:9">
      <c r="A755" s="22"/>
      <c r="G755" s="22"/>
      <c r="H755" s="22"/>
      <c r="I755" s="4"/>
    </row>
    <row r="756" spans="1:9">
      <c r="A756" s="22"/>
      <c r="G756" s="22"/>
      <c r="H756" s="22"/>
      <c r="I756" s="4"/>
    </row>
    <row r="757" spans="1:9">
      <c r="A757" s="22"/>
      <c r="G757" s="22"/>
      <c r="H757" s="22"/>
      <c r="I757" s="4"/>
    </row>
    <row r="758" spans="1:9">
      <c r="A758" s="22"/>
      <c r="G758" s="22"/>
      <c r="H758" s="22"/>
      <c r="I758" s="4"/>
    </row>
    <row r="759" spans="1:9">
      <c r="A759" s="22"/>
      <c r="G759" s="22"/>
      <c r="H759" s="22"/>
      <c r="I759" s="4"/>
    </row>
    <row r="760" spans="1:9">
      <c r="A760" s="22"/>
      <c r="G760" s="22"/>
      <c r="H760" s="22"/>
      <c r="I760" s="4"/>
    </row>
    <row r="761" spans="1:9">
      <c r="A761" s="22"/>
      <c r="G761" s="22"/>
      <c r="H761" s="22"/>
      <c r="I761" s="4"/>
    </row>
    <row r="762" spans="1:9">
      <c r="A762" s="22"/>
      <c r="G762" s="22"/>
      <c r="H762" s="22"/>
      <c r="I762" s="4"/>
    </row>
    <row r="763" spans="1:9">
      <c r="A763" s="22"/>
      <c r="G763" s="22"/>
      <c r="H763" s="22"/>
      <c r="I763" s="4"/>
    </row>
    <row r="764" spans="1:9">
      <c r="A764" s="22"/>
      <c r="G764" s="22"/>
      <c r="H764" s="22"/>
      <c r="I764" s="4"/>
    </row>
    <row r="765" spans="1:9">
      <c r="A765" s="22"/>
      <c r="G765" s="22"/>
      <c r="H765" s="22"/>
      <c r="I765" s="4"/>
    </row>
    <row r="766" spans="1:9">
      <c r="A766" s="22"/>
      <c r="G766" s="22"/>
      <c r="H766" s="22"/>
      <c r="I766" s="4"/>
    </row>
    <row r="767" spans="1:9">
      <c r="A767" s="22"/>
      <c r="G767" s="22"/>
      <c r="H767" s="22"/>
      <c r="I767" s="4"/>
    </row>
    <row r="768" spans="1:9">
      <c r="A768" s="22"/>
      <c r="G768" s="22"/>
      <c r="H768" s="22"/>
      <c r="I768" s="4"/>
    </row>
    <row r="769" spans="1:9">
      <c r="A769" s="22"/>
      <c r="G769" s="22"/>
      <c r="H769" s="22"/>
      <c r="I769" s="4"/>
    </row>
    <row r="770" spans="1:9">
      <c r="A770" s="22"/>
      <c r="G770" s="22"/>
      <c r="H770" s="22"/>
      <c r="I770" s="4"/>
    </row>
    <row r="771" spans="1:9">
      <c r="A771" s="22"/>
      <c r="G771" s="22"/>
      <c r="H771" s="22"/>
      <c r="I771" s="4"/>
    </row>
    <row r="772" spans="1:9">
      <c r="A772" s="22"/>
      <c r="G772" s="22"/>
      <c r="H772" s="22"/>
      <c r="I772" s="4"/>
    </row>
    <row r="773" spans="1:9">
      <c r="A773" s="22"/>
      <c r="G773" s="22"/>
      <c r="H773" s="22"/>
      <c r="I773" s="4"/>
    </row>
    <row r="774" spans="1:9">
      <c r="A774" s="22"/>
      <c r="G774" s="22"/>
      <c r="H774" s="22"/>
      <c r="I774" s="4"/>
    </row>
    <row r="775" spans="1:9">
      <c r="A775" s="22"/>
      <c r="G775" s="22"/>
      <c r="H775" s="22"/>
      <c r="I775" s="4"/>
    </row>
    <row r="776" spans="1:9">
      <c r="A776" s="22"/>
      <c r="G776" s="22"/>
      <c r="H776" s="22"/>
      <c r="I776" s="4"/>
    </row>
    <row r="777" spans="1:9">
      <c r="A777" s="22"/>
      <c r="G777" s="22"/>
      <c r="H777" s="22"/>
      <c r="I777" s="4"/>
    </row>
    <row r="778" spans="1:9">
      <c r="A778" s="22"/>
      <c r="G778" s="22"/>
      <c r="H778" s="22"/>
      <c r="I778" s="4"/>
    </row>
    <row r="779" spans="1:9">
      <c r="A779" s="22"/>
      <c r="G779" s="22"/>
      <c r="H779" s="22"/>
      <c r="I779" s="4"/>
    </row>
    <row r="780" spans="1:9">
      <c r="A780" s="22"/>
      <c r="G780" s="22"/>
      <c r="H780" s="22"/>
      <c r="I780" s="4"/>
    </row>
    <row r="781" spans="1:9">
      <c r="A781" s="22"/>
      <c r="G781" s="22"/>
      <c r="H781" s="22"/>
      <c r="I781" s="4"/>
    </row>
    <row r="782" spans="1:9">
      <c r="A782" s="22"/>
      <c r="G782" s="22"/>
      <c r="H782" s="22"/>
      <c r="I782" s="4"/>
    </row>
    <row r="783" spans="1:9">
      <c r="A783" s="22"/>
      <c r="G783" s="22"/>
      <c r="H783" s="22"/>
      <c r="I783" s="4"/>
    </row>
    <row r="784" spans="1:9">
      <c r="A784" s="22"/>
      <c r="G784" s="22"/>
      <c r="H784" s="22"/>
      <c r="I784" s="4"/>
    </row>
    <row r="785" spans="1:9">
      <c r="A785" s="22"/>
      <c r="G785" s="22"/>
      <c r="H785" s="22"/>
      <c r="I785" s="4"/>
    </row>
    <row r="786" spans="1:9">
      <c r="A786" s="22"/>
      <c r="G786" s="22"/>
      <c r="H786" s="22"/>
      <c r="I786" s="4"/>
    </row>
    <row r="787" spans="1:9">
      <c r="A787" s="22"/>
      <c r="G787" s="22"/>
      <c r="H787" s="22"/>
      <c r="I787" s="4"/>
    </row>
    <row r="788" spans="1:9">
      <c r="A788" s="22"/>
      <c r="G788" s="22"/>
      <c r="H788" s="22"/>
      <c r="I788" s="4"/>
    </row>
    <row r="789" spans="1:9">
      <c r="A789" s="22"/>
      <c r="G789" s="22"/>
      <c r="H789" s="22"/>
      <c r="I789" s="4"/>
    </row>
    <row r="790" spans="1:9">
      <c r="A790" s="22"/>
      <c r="G790" s="22"/>
      <c r="H790" s="22"/>
      <c r="I790" s="4"/>
    </row>
    <row r="791" spans="1:9">
      <c r="A791" s="22"/>
      <c r="G791" s="22"/>
      <c r="H791" s="22"/>
      <c r="I791" s="4"/>
    </row>
    <row r="792" spans="1:9">
      <c r="A792" s="22"/>
      <c r="G792" s="22"/>
      <c r="H792" s="22"/>
      <c r="I792" s="4"/>
    </row>
    <row r="793" spans="1:9">
      <c r="A793" s="22"/>
      <c r="G793" s="22"/>
      <c r="H793" s="22"/>
      <c r="I793" s="4"/>
    </row>
    <row r="794" spans="1:9">
      <c r="A794" s="22"/>
      <c r="G794" s="22"/>
      <c r="H794" s="22"/>
      <c r="I794" s="4"/>
    </row>
    <row r="795" spans="1:9">
      <c r="A795" s="22"/>
      <c r="G795" s="22"/>
      <c r="H795" s="22"/>
      <c r="I795" s="4"/>
    </row>
    <row r="796" spans="1:9">
      <c r="A796" s="22"/>
      <c r="G796" s="22"/>
      <c r="H796" s="22"/>
      <c r="I796" s="4"/>
    </row>
    <row r="797" spans="1:9">
      <c r="A797" s="22"/>
      <c r="G797" s="22"/>
      <c r="H797" s="22"/>
      <c r="I797" s="4"/>
    </row>
    <row r="798" spans="1:9">
      <c r="A798" s="22"/>
      <c r="G798" s="22"/>
      <c r="H798" s="22"/>
      <c r="I798" s="4"/>
    </row>
    <row r="799" spans="1:9">
      <c r="A799" s="22"/>
      <c r="G799" s="22"/>
      <c r="H799" s="22"/>
      <c r="I799" s="4"/>
    </row>
    <row r="800" spans="1:9">
      <c r="A800" s="22"/>
      <c r="G800" s="22"/>
      <c r="H800" s="22"/>
      <c r="I800" s="4"/>
    </row>
    <row r="801" spans="1:9">
      <c r="A801" s="22"/>
      <c r="G801" s="22"/>
      <c r="H801" s="22"/>
      <c r="I801" s="4"/>
    </row>
    <row r="802" spans="1:9">
      <c r="A802" s="22"/>
      <c r="G802" s="22"/>
      <c r="H802" s="22"/>
      <c r="I802" s="4"/>
    </row>
    <row r="803" spans="1:9">
      <c r="A803" s="22"/>
      <c r="G803" s="22"/>
      <c r="H803" s="22"/>
      <c r="I803" s="4"/>
    </row>
    <row r="804" spans="1:9">
      <c r="A804" s="22"/>
      <c r="G804" s="22"/>
      <c r="H804" s="22"/>
      <c r="I804" s="4"/>
    </row>
    <row r="805" spans="1:9">
      <c r="A805" s="22"/>
      <c r="G805" s="22"/>
      <c r="H805" s="22"/>
      <c r="I805" s="4"/>
    </row>
    <row r="806" spans="1:9">
      <c r="A806" s="22"/>
      <c r="G806" s="22"/>
      <c r="H806" s="22"/>
      <c r="I806" s="4"/>
    </row>
    <row r="807" spans="1:9">
      <c r="A807" s="22"/>
      <c r="G807" s="22"/>
      <c r="H807" s="22"/>
      <c r="I807" s="4"/>
    </row>
    <row r="808" spans="1:9">
      <c r="A808" s="22"/>
      <c r="G808" s="22"/>
      <c r="H808" s="22"/>
      <c r="I808" s="4"/>
    </row>
    <row r="809" spans="1:9">
      <c r="A809" s="22"/>
      <c r="G809" s="22"/>
      <c r="H809" s="22"/>
      <c r="I809" s="4"/>
    </row>
    <row r="810" spans="1:9">
      <c r="A810" s="22"/>
      <c r="G810" s="22"/>
      <c r="H810" s="22"/>
      <c r="I810" s="4"/>
    </row>
    <row r="811" spans="1:9">
      <c r="A811" s="22"/>
      <c r="G811" s="22"/>
      <c r="H811" s="22"/>
      <c r="I811" s="4"/>
    </row>
    <row r="812" spans="1:9">
      <c r="A812" s="22"/>
      <c r="G812" s="22"/>
      <c r="H812" s="22"/>
      <c r="I812" s="4"/>
    </row>
    <row r="813" spans="1:9">
      <c r="A813" s="22"/>
      <c r="G813" s="22"/>
      <c r="H813" s="22"/>
      <c r="I813" s="4"/>
    </row>
    <row r="814" spans="1:9">
      <c r="A814" s="22"/>
      <c r="G814" s="22"/>
      <c r="H814" s="22"/>
      <c r="I814" s="4"/>
    </row>
    <row r="815" spans="1:9">
      <c r="A815" s="22"/>
      <c r="G815" s="22"/>
      <c r="H815" s="22"/>
      <c r="I815" s="4"/>
    </row>
    <row r="816" spans="1:9">
      <c r="A816" s="22"/>
      <c r="G816" s="22"/>
      <c r="H816" s="22"/>
      <c r="I816" s="4"/>
    </row>
    <row r="817" spans="1:9">
      <c r="A817" s="22"/>
      <c r="G817" s="22"/>
      <c r="H817" s="22"/>
      <c r="I817" s="4"/>
    </row>
    <row r="818" spans="1:9">
      <c r="A818" s="22"/>
      <c r="G818" s="22"/>
      <c r="H818" s="22"/>
      <c r="I818" s="4"/>
    </row>
    <row r="819" spans="1:9">
      <c r="A819" s="22"/>
      <c r="G819" s="22"/>
      <c r="H819" s="22"/>
      <c r="I819" s="4"/>
    </row>
    <row r="820" spans="1:9">
      <c r="A820" s="22"/>
      <c r="G820" s="22"/>
      <c r="H820" s="22"/>
      <c r="I820" s="4"/>
    </row>
    <row r="821" spans="1:9">
      <c r="A821" s="22"/>
      <c r="G821" s="22"/>
      <c r="H821" s="22"/>
      <c r="I821" s="4"/>
    </row>
    <row r="822" spans="1:9">
      <c r="A822" s="22"/>
      <c r="G822" s="22"/>
      <c r="H822" s="22"/>
      <c r="I822" s="4"/>
    </row>
    <row r="823" spans="1:9">
      <c r="A823" s="22"/>
      <c r="G823" s="22"/>
      <c r="H823" s="22"/>
      <c r="I823" s="4"/>
    </row>
    <row r="824" spans="1:9">
      <c r="A824" s="22"/>
      <c r="G824" s="22"/>
      <c r="H824" s="22"/>
      <c r="I824" s="4"/>
    </row>
    <row r="825" spans="1:9">
      <c r="A825" s="22"/>
      <c r="G825" s="22"/>
      <c r="H825" s="22"/>
      <c r="I825" s="4"/>
    </row>
    <row r="826" spans="1:9">
      <c r="A826" s="22"/>
      <c r="G826" s="22"/>
      <c r="H826" s="22"/>
      <c r="I826" s="4"/>
    </row>
    <row r="827" spans="1:9">
      <c r="A827" s="22"/>
      <c r="G827" s="22"/>
      <c r="H827" s="22"/>
      <c r="I827" s="4"/>
    </row>
    <row r="828" spans="1:9">
      <c r="A828" s="22"/>
      <c r="G828" s="22"/>
      <c r="H828" s="22"/>
      <c r="I828" s="4"/>
    </row>
    <row r="829" spans="1:9">
      <c r="A829" s="22"/>
      <c r="G829" s="22"/>
      <c r="H829" s="22"/>
      <c r="I829" s="4"/>
    </row>
    <row r="830" spans="1:9">
      <c r="A830" s="22"/>
      <c r="G830" s="22"/>
      <c r="H830" s="22"/>
      <c r="I830" s="4"/>
    </row>
    <row r="831" spans="1:9">
      <c r="A831" s="22"/>
      <c r="G831" s="22"/>
      <c r="H831" s="22"/>
      <c r="I831" s="4"/>
    </row>
    <row r="832" spans="1:9">
      <c r="A832" s="22"/>
      <c r="G832" s="22"/>
      <c r="H832" s="22"/>
      <c r="I832" s="4"/>
    </row>
    <row r="833" spans="1:9">
      <c r="A833" s="22"/>
      <c r="G833" s="22"/>
      <c r="H833" s="22"/>
      <c r="I833" s="4"/>
    </row>
    <row r="834" spans="1:9">
      <c r="A834" s="22"/>
      <c r="G834" s="22"/>
      <c r="H834" s="22"/>
      <c r="I834" s="4"/>
    </row>
    <row r="835" spans="1:9">
      <c r="A835" s="22"/>
      <c r="G835" s="22"/>
      <c r="H835" s="22"/>
      <c r="I835" s="4"/>
    </row>
    <row r="836" spans="1:9">
      <c r="A836" s="22"/>
      <c r="G836" s="22"/>
      <c r="H836" s="22"/>
      <c r="I836" s="4"/>
    </row>
    <row r="837" spans="1:9">
      <c r="A837" s="22"/>
      <c r="G837" s="22"/>
      <c r="H837" s="22"/>
      <c r="I837" s="4"/>
    </row>
    <row r="838" spans="1:9">
      <c r="A838" s="22"/>
      <c r="G838" s="22"/>
      <c r="H838" s="22"/>
      <c r="I838" s="4"/>
    </row>
    <row r="839" spans="1:9">
      <c r="A839" s="22"/>
      <c r="G839" s="22"/>
      <c r="H839" s="22"/>
      <c r="I839" s="4"/>
    </row>
    <row r="840" spans="1:9">
      <c r="A840" s="22"/>
      <c r="G840" s="22"/>
      <c r="H840" s="22"/>
      <c r="I840" s="4"/>
    </row>
    <row r="841" spans="1:9">
      <c r="A841" s="22"/>
      <c r="G841" s="22"/>
      <c r="H841" s="22"/>
      <c r="I841" s="4"/>
    </row>
    <row r="842" spans="1:9">
      <c r="A842" s="22"/>
      <c r="G842" s="22"/>
      <c r="H842" s="22"/>
      <c r="I842" s="4"/>
    </row>
    <row r="843" spans="1:9">
      <c r="A843" s="22"/>
      <c r="G843" s="22"/>
      <c r="H843" s="22"/>
      <c r="I843" s="4"/>
    </row>
    <row r="844" spans="1:9">
      <c r="A844" s="22"/>
      <c r="G844" s="22"/>
      <c r="H844" s="22"/>
      <c r="I844" s="4"/>
    </row>
    <row r="845" spans="1:9">
      <c r="A845" s="22"/>
      <c r="G845" s="22"/>
      <c r="H845" s="22"/>
      <c r="I845" s="4"/>
    </row>
    <row r="846" spans="1:9">
      <c r="A846" s="22"/>
      <c r="G846" s="22"/>
      <c r="H846" s="22"/>
      <c r="I846" s="4"/>
    </row>
    <row r="847" spans="1:9">
      <c r="A847" s="22"/>
      <c r="G847" s="22"/>
      <c r="H847" s="22"/>
      <c r="I847" s="4"/>
    </row>
    <row r="848" spans="1:9">
      <c r="A848" s="22"/>
      <c r="G848" s="22"/>
      <c r="H848" s="22"/>
      <c r="I848" s="4"/>
    </row>
    <row r="849" spans="1:9">
      <c r="A849" s="22"/>
      <c r="G849" s="22"/>
      <c r="H849" s="22"/>
      <c r="I849" s="4"/>
    </row>
    <row r="850" spans="1:9">
      <c r="A850" s="22"/>
      <c r="G850" s="22"/>
      <c r="H850" s="22"/>
      <c r="I850" s="4"/>
    </row>
    <row r="851" spans="1:9">
      <c r="A851" s="22"/>
      <c r="G851" s="22"/>
      <c r="H851" s="22"/>
      <c r="I851" s="4"/>
    </row>
    <row r="852" spans="1:9">
      <c r="A852" s="22"/>
      <c r="G852" s="22"/>
      <c r="H852" s="22"/>
      <c r="I852" s="4"/>
    </row>
    <row r="853" spans="1:9">
      <c r="A853" s="22"/>
      <c r="G853" s="22"/>
      <c r="H853" s="22"/>
      <c r="I853" s="4"/>
    </row>
    <row r="854" spans="1:9">
      <c r="A854" s="22"/>
      <c r="G854" s="22"/>
      <c r="H854" s="22"/>
      <c r="I854" s="4"/>
    </row>
    <row r="855" spans="1:9">
      <c r="A855" s="22"/>
      <c r="G855" s="22"/>
      <c r="H855" s="22"/>
      <c r="I855" s="4"/>
    </row>
    <row r="856" spans="1:9">
      <c r="A856" s="22"/>
      <c r="G856" s="22"/>
      <c r="H856" s="22"/>
      <c r="I856" s="4"/>
    </row>
    <row r="857" spans="1:9">
      <c r="A857" s="22"/>
      <c r="G857" s="22"/>
      <c r="H857" s="22"/>
      <c r="I857" s="4"/>
    </row>
    <row r="858" spans="1:9">
      <c r="A858" s="22"/>
      <c r="G858" s="22"/>
      <c r="H858" s="22"/>
      <c r="I858" s="4"/>
    </row>
    <row r="859" spans="1:9">
      <c r="A859" s="22"/>
      <c r="G859" s="22"/>
      <c r="H859" s="22"/>
      <c r="I859" s="4"/>
    </row>
    <row r="860" spans="1:9">
      <c r="A860" s="22"/>
      <c r="G860" s="22"/>
      <c r="H860" s="22"/>
      <c r="I860" s="4"/>
    </row>
    <row r="861" spans="1:9">
      <c r="A861" s="22"/>
      <c r="G861" s="22"/>
      <c r="H861" s="22"/>
      <c r="I861" s="4"/>
    </row>
    <row r="862" spans="1:9">
      <c r="A862" s="22"/>
      <c r="G862" s="22"/>
      <c r="H862" s="22"/>
      <c r="I862" s="4"/>
    </row>
    <row r="863" spans="1:9">
      <c r="A863" s="22"/>
      <c r="G863" s="22"/>
      <c r="H863" s="22"/>
      <c r="I863" s="4"/>
    </row>
    <row r="864" spans="1:9">
      <c r="A864" s="22"/>
      <c r="G864" s="22"/>
      <c r="H864" s="22"/>
      <c r="I864" s="4"/>
    </row>
    <row r="865" spans="1:9">
      <c r="A865" s="22"/>
      <c r="G865" s="22"/>
      <c r="H865" s="22"/>
      <c r="I865" s="4"/>
    </row>
    <row r="866" spans="1:9">
      <c r="A866" s="22"/>
      <c r="G866" s="22"/>
      <c r="H866" s="22"/>
      <c r="I866" s="4"/>
    </row>
    <row r="867" spans="1:9">
      <c r="A867" s="22"/>
      <c r="G867" s="22"/>
      <c r="H867" s="22"/>
      <c r="I867" s="4"/>
    </row>
    <row r="868" spans="1:9">
      <c r="A868" s="22"/>
      <c r="G868" s="22"/>
      <c r="H868" s="22"/>
      <c r="I868" s="4"/>
    </row>
    <row r="869" spans="1:9">
      <c r="A869" s="22"/>
      <c r="G869" s="22"/>
      <c r="H869" s="22"/>
      <c r="I869" s="4"/>
    </row>
    <row r="870" spans="1:9">
      <c r="A870" s="22"/>
      <c r="G870" s="22"/>
      <c r="H870" s="22"/>
      <c r="I870" s="4"/>
    </row>
    <row r="871" spans="1:9">
      <c r="A871" s="22"/>
      <c r="G871" s="22"/>
      <c r="H871" s="22"/>
      <c r="I871" s="4"/>
    </row>
    <row r="872" spans="1:9">
      <c r="A872" s="22"/>
      <c r="G872" s="22"/>
      <c r="H872" s="22"/>
      <c r="I872" s="4"/>
    </row>
    <row r="873" spans="1:9">
      <c r="A873" s="22"/>
      <c r="G873" s="22"/>
      <c r="H873" s="22"/>
      <c r="I873" s="4"/>
    </row>
    <row r="874" spans="1:9">
      <c r="A874" s="22"/>
      <c r="G874" s="22"/>
      <c r="H874" s="22"/>
      <c r="I874" s="4"/>
    </row>
    <row r="875" spans="1:9">
      <c r="A875" s="22"/>
      <c r="G875" s="22"/>
      <c r="H875" s="22"/>
      <c r="I875" s="4"/>
    </row>
    <row r="876" spans="1:9">
      <c r="A876" s="22"/>
      <c r="G876" s="22"/>
      <c r="H876" s="22"/>
      <c r="I876" s="4"/>
    </row>
    <row r="877" spans="1:9">
      <c r="A877" s="22"/>
      <c r="G877" s="22"/>
      <c r="H877" s="22"/>
      <c r="I877" s="4"/>
    </row>
    <row r="878" spans="1:9">
      <c r="A878" s="22"/>
      <c r="G878" s="22"/>
      <c r="H878" s="22"/>
      <c r="I878" s="4"/>
    </row>
    <row r="879" spans="1:9">
      <c r="A879" s="22"/>
      <c r="G879" s="22"/>
      <c r="H879" s="22"/>
      <c r="I879" s="4"/>
    </row>
    <row r="880" spans="1:9">
      <c r="A880" s="22"/>
      <c r="G880" s="22"/>
      <c r="H880" s="22"/>
      <c r="I880" s="4"/>
    </row>
    <row r="881" spans="1:9">
      <c r="A881" s="22"/>
      <c r="G881" s="22"/>
      <c r="H881" s="22"/>
      <c r="I881" s="4"/>
    </row>
    <row r="882" spans="1:9">
      <c r="A882" s="22"/>
      <c r="G882" s="22"/>
      <c r="H882" s="22"/>
      <c r="I882" s="4"/>
    </row>
    <row r="883" spans="1:9">
      <c r="A883" s="22"/>
      <c r="G883" s="22"/>
      <c r="H883" s="22"/>
      <c r="I883" s="4"/>
    </row>
    <row r="884" spans="1:9">
      <c r="A884" s="22"/>
      <c r="G884" s="22"/>
      <c r="H884" s="22"/>
      <c r="I884" s="4"/>
    </row>
    <row r="885" spans="1:9">
      <c r="A885" s="22"/>
      <c r="G885" s="22"/>
      <c r="H885" s="22"/>
      <c r="I885" s="4"/>
    </row>
    <row r="886" spans="1:9">
      <c r="A886" s="22"/>
      <c r="G886" s="22"/>
      <c r="H886" s="22"/>
      <c r="I886" s="4"/>
    </row>
    <row r="887" spans="1:9">
      <c r="A887" s="22"/>
      <c r="G887" s="22"/>
      <c r="H887" s="22"/>
      <c r="I887" s="4"/>
    </row>
    <row r="888" spans="1:9">
      <c r="A888" s="22"/>
      <c r="G888" s="22"/>
      <c r="H888" s="22"/>
      <c r="I888" s="4"/>
    </row>
    <row r="889" spans="1:9">
      <c r="A889" s="22"/>
      <c r="G889" s="22"/>
      <c r="H889" s="22"/>
      <c r="I889" s="4"/>
    </row>
    <row r="890" spans="1:9">
      <c r="A890" s="22"/>
      <c r="G890" s="22"/>
      <c r="H890" s="22"/>
      <c r="I890" s="4"/>
    </row>
    <row r="891" spans="1:9">
      <c r="A891" s="22"/>
      <c r="G891" s="22"/>
      <c r="H891" s="22"/>
      <c r="I891" s="4"/>
    </row>
    <row r="892" spans="1:9">
      <c r="A892" s="22"/>
      <c r="G892" s="22"/>
      <c r="H892" s="22"/>
      <c r="I892" s="4"/>
    </row>
    <row r="893" spans="1:9">
      <c r="A893" s="22"/>
      <c r="G893" s="22"/>
      <c r="H893" s="22"/>
      <c r="I893" s="4"/>
    </row>
    <row r="894" spans="1:9">
      <c r="A894" s="22"/>
      <c r="G894" s="22"/>
      <c r="H894" s="22"/>
      <c r="I894" s="4"/>
    </row>
    <row r="895" spans="1:9">
      <c r="A895" s="22"/>
      <c r="G895" s="22"/>
      <c r="H895" s="22"/>
      <c r="I895" s="4"/>
    </row>
    <row r="896" spans="1:9">
      <c r="A896" s="22"/>
      <c r="G896" s="22"/>
      <c r="H896" s="22"/>
      <c r="I896" s="4"/>
    </row>
    <row r="897" spans="1:9">
      <c r="A897" s="22"/>
      <c r="G897" s="22"/>
      <c r="H897" s="22"/>
      <c r="I897" s="4"/>
    </row>
    <row r="898" spans="1:9">
      <c r="A898" s="22"/>
      <c r="G898" s="22"/>
      <c r="H898" s="22"/>
      <c r="I898" s="4"/>
    </row>
    <row r="899" spans="1:9">
      <c r="A899" s="22"/>
      <c r="G899" s="22"/>
      <c r="H899" s="22"/>
      <c r="I899" s="4"/>
    </row>
    <row r="900" spans="1:9">
      <c r="A900" s="22"/>
      <c r="G900" s="22"/>
      <c r="H900" s="22"/>
      <c r="I900" s="4"/>
    </row>
    <row r="901" spans="1:9">
      <c r="A901" s="22"/>
      <c r="G901" s="22"/>
      <c r="H901" s="22"/>
      <c r="I901" s="4"/>
    </row>
    <row r="902" spans="1:9">
      <c r="A902" s="22"/>
      <c r="G902" s="22"/>
      <c r="H902" s="22"/>
      <c r="I902" s="4"/>
    </row>
    <row r="903" spans="1:9">
      <c r="A903" s="22"/>
      <c r="G903" s="22"/>
      <c r="H903" s="22"/>
      <c r="I903" s="4"/>
    </row>
    <row r="904" spans="1:9">
      <c r="A904" s="22"/>
      <c r="G904" s="22"/>
      <c r="H904" s="22"/>
      <c r="I904" s="4"/>
    </row>
    <row r="905" spans="1:9">
      <c r="A905" s="22"/>
      <c r="G905" s="22"/>
      <c r="H905" s="22"/>
      <c r="I905" s="4"/>
    </row>
    <row r="906" spans="1:9">
      <c r="A906" s="22"/>
      <c r="G906" s="22"/>
      <c r="H906" s="22"/>
      <c r="I906" s="4"/>
    </row>
    <row r="907" spans="1:9">
      <c r="A907" s="22"/>
      <c r="G907" s="22"/>
      <c r="H907" s="22"/>
      <c r="I907" s="4"/>
    </row>
    <row r="908" spans="1:9">
      <c r="A908" s="22"/>
      <c r="G908" s="22"/>
      <c r="H908" s="22"/>
      <c r="I908" s="4"/>
    </row>
    <row r="909" spans="1:9">
      <c r="A909" s="22"/>
      <c r="G909" s="22"/>
      <c r="H909" s="22"/>
      <c r="I909" s="4"/>
    </row>
    <row r="910" spans="1:9">
      <c r="A910" s="22"/>
      <c r="G910" s="22"/>
      <c r="H910" s="22"/>
      <c r="I910" s="4"/>
    </row>
    <row r="911" spans="1:9">
      <c r="A911" s="22"/>
      <c r="G911" s="22"/>
      <c r="H911" s="22"/>
      <c r="I911" s="4"/>
    </row>
    <row r="912" spans="1:9">
      <c r="A912" s="22"/>
      <c r="G912" s="22"/>
      <c r="H912" s="22"/>
      <c r="I912" s="4"/>
    </row>
    <row r="913" spans="1:9">
      <c r="A913" s="22"/>
      <c r="G913" s="22"/>
      <c r="H913" s="22"/>
      <c r="I913" s="4"/>
    </row>
    <row r="914" spans="1:9">
      <c r="A914" s="22"/>
      <c r="G914" s="22"/>
      <c r="H914" s="22"/>
      <c r="I914" s="4"/>
    </row>
    <row r="915" spans="1:9">
      <c r="A915" s="22"/>
      <c r="G915" s="22"/>
      <c r="H915" s="22"/>
      <c r="I915" s="4"/>
    </row>
    <row r="916" spans="1:9">
      <c r="A916" s="22"/>
      <c r="G916" s="22"/>
      <c r="H916" s="22"/>
      <c r="I916" s="4"/>
    </row>
    <row r="917" spans="1:9">
      <c r="A917" s="22"/>
      <c r="G917" s="22"/>
      <c r="H917" s="22"/>
      <c r="I917" s="4"/>
    </row>
    <row r="918" spans="1:9">
      <c r="A918" s="22"/>
      <c r="G918" s="22"/>
      <c r="H918" s="22"/>
      <c r="I918" s="4"/>
    </row>
    <row r="919" spans="1:9">
      <c r="A919" s="22"/>
      <c r="G919" s="22"/>
      <c r="H919" s="22"/>
      <c r="I919" s="4"/>
    </row>
    <row r="920" spans="1:9">
      <c r="A920" s="22"/>
      <c r="G920" s="22"/>
      <c r="H920" s="22"/>
      <c r="I920" s="4"/>
    </row>
    <row r="921" spans="1:9">
      <c r="A921" s="22"/>
      <c r="G921" s="22"/>
      <c r="H921" s="22"/>
      <c r="I921" s="4"/>
    </row>
    <row r="922" spans="1:9">
      <c r="A922" s="22"/>
      <c r="G922" s="22"/>
      <c r="H922" s="22"/>
      <c r="I922" s="4"/>
    </row>
    <row r="923" spans="1:9">
      <c r="A923" s="22"/>
      <c r="G923" s="22"/>
      <c r="H923" s="22"/>
      <c r="I923" s="4"/>
    </row>
    <row r="924" spans="1:9">
      <c r="A924" s="22"/>
      <c r="G924" s="22"/>
      <c r="H924" s="22"/>
      <c r="I924" s="4"/>
    </row>
    <row r="925" spans="1:9">
      <c r="A925" s="22"/>
      <c r="G925" s="22"/>
      <c r="H925" s="22"/>
      <c r="I925" s="4"/>
    </row>
    <row r="926" spans="1:9">
      <c r="A926" s="22"/>
      <c r="G926" s="22"/>
      <c r="H926" s="22"/>
      <c r="I926" s="4"/>
    </row>
    <row r="927" spans="1:9">
      <c r="A927" s="22"/>
      <c r="G927" s="22"/>
      <c r="H927" s="22"/>
      <c r="I927" s="4"/>
    </row>
    <row r="928" spans="1:9">
      <c r="A928" s="22"/>
      <c r="G928" s="22"/>
      <c r="H928" s="22"/>
      <c r="I928" s="4"/>
    </row>
    <row r="929" spans="1:9">
      <c r="A929" s="22"/>
      <c r="G929" s="22"/>
      <c r="H929" s="22"/>
      <c r="I929" s="4"/>
    </row>
    <row r="930" spans="1:9">
      <c r="A930" s="22"/>
      <c r="G930" s="22"/>
      <c r="H930" s="22"/>
      <c r="I930" s="4"/>
    </row>
    <row r="931" spans="1:9">
      <c r="A931" s="22"/>
      <c r="G931" s="22"/>
      <c r="H931" s="22"/>
      <c r="I931" s="4"/>
    </row>
    <row r="932" spans="1:9">
      <c r="A932" s="22"/>
      <c r="G932" s="22"/>
      <c r="H932" s="22"/>
      <c r="I932" s="4"/>
    </row>
    <row r="933" spans="1:9">
      <c r="A933" s="22"/>
      <c r="G933" s="22"/>
      <c r="H933" s="22"/>
      <c r="I933" s="4"/>
    </row>
  </sheetData>
  <autoFilter ref="A14:WVN682"/>
  <mergeCells count="6">
    <mergeCell ref="E713:F713"/>
    <mergeCell ref="A10:H10"/>
    <mergeCell ref="A11:H11"/>
    <mergeCell ref="A678:E678"/>
    <mergeCell ref="E711:F711"/>
    <mergeCell ref="E712:F712"/>
  </mergeCells>
  <pageMargins left="0.70866141732283472" right="0.70866141732283472" top="0.35433070866141736" bottom="0.35433070866141736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L696"/>
  <sheetViews>
    <sheetView view="pageBreakPreview" topLeftCell="A105" zoomScale="75" zoomScaleNormal="100" zoomScaleSheetLayoutView="75" workbookViewId="0">
      <selection activeCell="F1" sqref="F1:G1"/>
    </sheetView>
  </sheetViews>
  <sheetFormatPr defaultRowHeight="18" outlineLevelRow="7"/>
  <cols>
    <col min="1" max="1" width="62.33203125" style="256" customWidth="1"/>
    <col min="2" max="2" width="6.33203125" style="14" customWidth="1"/>
    <col min="3" max="3" width="6.6640625" style="14" customWidth="1"/>
    <col min="4" max="4" width="15.88671875" style="14" customWidth="1"/>
    <col min="5" max="5" width="6.88671875" style="14" customWidth="1"/>
    <col min="6" max="6" width="19.109375" style="275" customWidth="1"/>
    <col min="7" max="7" width="19.33203125" style="257" customWidth="1"/>
    <col min="8" max="8" width="9.109375" style="257"/>
    <col min="9" max="10" width="9.109375" style="7"/>
    <col min="11" max="11" width="18.44140625" style="7" bestFit="1" customWidth="1"/>
    <col min="12" max="12" width="16.109375" style="7" customWidth="1"/>
    <col min="13" max="238" width="9.109375" style="7"/>
    <col min="239" max="239" width="75.88671875" style="7" customWidth="1"/>
    <col min="240" max="241" width="7.6640625" style="7" customWidth="1"/>
    <col min="242" max="242" width="9.6640625" style="7" customWidth="1"/>
    <col min="243" max="243" width="7.6640625" style="7" customWidth="1"/>
    <col min="244" max="247" width="0" style="7" hidden="1" customWidth="1"/>
    <col min="248" max="248" width="14.33203125" style="7" customWidth="1"/>
    <col min="249" max="254" width="0" style="7" hidden="1" customWidth="1"/>
    <col min="255" max="255" width="10.109375" style="7" bestFit="1" customWidth="1"/>
    <col min="256" max="494" width="9.109375" style="7"/>
    <col min="495" max="495" width="75.88671875" style="7" customWidth="1"/>
    <col min="496" max="497" width="7.6640625" style="7" customWidth="1"/>
    <col min="498" max="498" width="9.6640625" style="7" customWidth="1"/>
    <col min="499" max="499" width="7.6640625" style="7" customWidth="1"/>
    <col min="500" max="503" width="0" style="7" hidden="1" customWidth="1"/>
    <col min="504" max="504" width="14.33203125" style="7" customWidth="1"/>
    <col min="505" max="510" width="0" style="7" hidden="1" customWidth="1"/>
    <col min="511" max="511" width="10.109375" style="7" bestFit="1" customWidth="1"/>
    <col min="512" max="750" width="9.109375" style="7"/>
    <col min="751" max="751" width="75.88671875" style="7" customWidth="1"/>
    <col min="752" max="753" width="7.6640625" style="7" customWidth="1"/>
    <col min="754" max="754" width="9.6640625" style="7" customWidth="1"/>
    <col min="755" max="755" width="7.6640625" style="7" customWidth="1"/>
    <col min="756" max="759" width="0" style="7" hidden="1" customWidth="1"/>
    <col min="760" max="760" width="14.33203125" style="7" customWidth="1"/>
    <col min="761" max="766" width="0" style="7" hidden="1" customWidth="1"/>
    <col min="767" max="767" width="10.109375" style="7" bestFit="1" customWidth="1"/>
    <col min="768" max="1006" width="9.109375" style="7"/>
    <col min="1007" max="1007" width="75.88671875" style="7" customWidth="1"/>
    <col min="1008" max="1009" width="7.6640625" style="7" customWidth="1"/>
    <col min="1010" max="1010" width="9.6640625" style="7" customWidth="1"/>
    <col min="1011" max="1011" width="7.6640625" style="7" customWidth="1"/>
    <col min="1012" max="1015" width="0" style="7" hidden="1" customWidth="1"/>
    <col min="1016" max="1016" width="14.33203125" style="7" customWidth="1"/>
    <col min="1017" max="1022" width="0" style="7" hidden="1" customWidth="1"/>
    <col min="1023" max="1023" width="10.109375" style="7" bestFit="1" customWidth="1"/>
    <col min="1024" max="1262" width="9.109375" style="7"/>
    <col min="1263" max="1263" width="75.88671875" style="7" customWidth="1"/>
    <col min="1264" max="1265" width="7.6640625" style="7" customWidth="1"/>
    <col min="1266" max="1266" width="9.6640625" style="7" customWidth="1"/>
    <col min="1267" max="1267" width="7.6640625" style="7" customWidth="1"/>
    <col min="1268" max="1271" width="0" style="7" hidden="1" customWidth="1"/>
    <col min="1272" max="1272" width="14.33203125" style="7" customWidth="1"/>
    <col min="1273" max="1278" width="0" style="7" hidden="1" customWidth="1"/>
    <col min="1279" max="1279" width="10.109375" style="7" bestFit="1" customWidth="1"/>
    <col min="1280" max="1518" width="9.109375" style="7"/>
    <col min="1519" max="1519" width="75.88671875" style="7" customWidth="1"/>
    <col min="1520" max="1521" width="7.6640625" style="7" customWidth="1"/>
    <col min="1522" max="1522" width="9.6640625" style="7" customWidth="1"/>
    <col min="1523" max="1523" width="7.6640625" style="7" customWidth="1"/>
    <col min="1524" max="1527" width="0" style="7" hidden="1" customWidth="1"/>
    <col min="1528" max="1528" width="14.33203125" style="7" customWidth="1"/>
    <col min="1529" max="1534" width="0" style="7" hidden="1" customWidth="1"/>
    <col min="1535" max="1535" width="10.109375" style="7" bestFit="1" customWidth="1"/>
    <col min="1536" max="1774" width="9.109375" style="7"/>
    <col min="1775" max="1775" width="75.88671875" style="7" customWidth="1"/>
    <col min="1776" max="1777" width="7.6640625" style="7" customWidth="1"/>
    <col min="1778" max="1778" width="9.6640625" style="7" customWidth="1"/>
    <col min="1779" max="1779" width="7.6640625" style="7" customWidth="1"/>
    <col min="1780" max="1783" width="0" style="7" hidden="1" customWidth="1"/>
    <col min="1784" max="1784" width="14.33203125" style="7" customWidth="1"/>
    <col min="1785" max="1790" width="0" style="7" hidden="1" customWidth="1"/>
    <col min="1791" max="1791" width="10.109375" style="7" bestFit="1" customWidth="1"/>
    <col min="1792" max="2030" width="9.109375" style="7"/>
    <col min="2031" max="2031" width="75.88671875" style="7" customWidth="1"/>
    <col min="2032" max="2033" width="7.6640625" style="7" customWidth="1"/>
    <col min="2034" max="2034" width="9.6640625" style="7" customWidth="1"/>
    <col min="2035" max="2035" width="7.6640625" style="7" customWidth="1"/>
    <col min="2036" max="2039" width="0" style="7" hidden="1" customWidth="1"/>
    <col min="2040" max="2040" width="14.33203125" style="7" customWidth="1"/>
    <col min="2041" max="2046" width="0" style="7" hidden="1" customWidth="1"/>
    <col min="2047" max="2047" width="10.109375" style="7" bestFit="1" customWidth="1"/>
    <col min="2048" max="2286" width="9.109375" style="7"/>
    <col min="2287" max="2287" width="75.88671875" style="7" customWidth="1"/>
    <col min="2288" max="2289" width="7.6640625" style="7" customWidth="1"/>
    <col min="2290" max="2290" width="9.6640625" style="7" customWidth="1"/>
    <col min="2291" max="2291" width="7.6640625" style="7" customWidth="1"/>
    <col min="2292" max="2295" width="0" style="7" hidden="1" customWidth="1"/>
    <col min="2296" max="2296" width="14.33203125" style="7" customWidth="1"/>
    <col min="2297" max="2302" width="0" style="7" hidden="1" customWidth="1"/>
    <col min="2303" max="2303" width="10.109375" style="7" bestFit="1" customWidth="1"/>
    <col min="2304" max="2542" width="9.109375" style="7"/>
    <col min="2543" max="2543" width="75.88671875" style="7" customWidth="1"/>
    <col min="2544" max="2545" width="7.6640625" style="7" customWidth="1"/>
    <col min="2546" max="2546" width="9.6640625" style="7" customWidth="1"/>
    <col min="2547" max="2547" width="7.6640625" style="7" customWidth="1"/>
    <col min="2548" max="2551" width="0" style="7" hidden="1" customWidth="1"/>
    <col min="2552" max="2552" width="14.33203125" style="7" customWidth="1"/>
    <col min="2553" max="2558" width="0" style="7" hidden="1" customWidth="1"/>
    <col min="2559" max="2559" width="10.109375" style="7" bestFit="1" customWidth="1"/>
    <col min="2560" max="2798" width="9.109375" style="7"/>
    <col min="2799" max="2799" width="75.88671875" style="7" customWidth="1"/>
    <col min="2800" max="2801" width="7.6640625" style="7" customWidth="1"/>
    <col min="2802" max="2802" width="9.6640625" style="7" customWidth="1"/>
    <col min="2803" max="2803" width="7.6640625" style="7" customWidth="1"/>
    <col min="2804" max="2807" width="0" style="7" hidden="1" customWidth="1"/>
    <col min="2808" max="2808" width="14.33203125" style="7" customWidth="1"/>
    <col min="2809" max="2814" width="0" style="7" hidden="1" customWidth="1"/>
    <col min="2815" max="2815" width="10.109375" style="7" bestFit="1" customWidth="1"/>
    <col min="2816" max="3054" width="9.109375" style="7"/>
    <col min="3055" max="3055" width="75.88671875" style="7" customWidth="1"/>
    <col min="3056" max="3057" width="7.6640625" style="7" customWidth="1"/>
    <col min="3058" max="3058" width="9.6640625" style="7" customWidth="1"/>
    <col min="3059" max="3059" width="7.6640625" style="7" customWidth="1"/>
    <col min="3060" max="3063" width="0" style="7" hidden="1" customWidth="1"/>
    <col min="3064" max="3064" width="14.33203125" style="7" customWidth="1"/>
    <col min="3065" max="3070" width="0" style="7" hidden="1" customWidth="1"/>
    <col min="3071" max="3071" width="10.109375" style="7" bestFit="1" customWidth="1"/>
    <col min="3072" max="3310" width="9.109375" style="7"/>
    <col min="3311" max="3311" width="75.88671875" style="7" customWidth="1"/>
    <col min="3312" max="3313" width="7.6640625" style="7" customWidth="1"/>
    <col min="3314" max="3314" width="9.6640625" style="7" customWidth="1"/>
    <col min="3315" max="3315" width="7.6640625" style="7" customWidth="1"/>
    <col min="3316" max="3319" width="0" style="7" hidden="1" customWidth="1"/>
    <col min="3320" max="3320" width="14.33203125" style="7" customWidth="1"/>
    <col min="3321" max="3326" width="0" style="7" hidden="1" customWidth="1"/>
    <col min="3327" max="3327" width="10.109375" style="7" bestFit="1" customWidth="1"/>
    <col min="3328" max="3566" width="9.109375" style="7"/>
    <col min="3567" max="3567" width="75.88671875" style="7" customWidth="1"/>
    <col min="3568" max="3569" width="7.6640625" style="7" customWidth="1"/>
    <col min="3570" max="3570" width="9.6640625" style="7" customWidth="1"/>
    <col min="3571" max="3571" width="7.6640625" style="7" customWidth="1"/>
    <col min="3572" max="3575" width="0" style="7" hidden="1" customWidth="1"/>
    <col min="3576" max="3576" width="14.33203125" style="7" customWidth="1"/>
    <col min="3577" max="3582" width="0" style="7" hidden="1" customWidth="1"/>
    <col min="3583" max="3583" width="10.109375" style="7" bestFit="1" customWidth="1"/>
    <col min="3584" max="3822" width="9.109375" style="7"/>
    <col min="3823" max="3823" width="75.88671875" style="7" customWidth="1"/>
    <col min="3824" max="3825" width="7.6640625" style="7" customWidth="1"/>
    <col min="3826" max="3826" width="9.6640625" style="7" customWidth="1"/>
    <col min="3827" max="3827" width="7.6640625" style="7" customWidth="1"/>
    <col min="3828" max="3831" width="0" style="7" hidden="1" customWidth="1"/>
    <col min="3832" max="3832" width="14.33203125" style="7" customWidth="1"/>
    <col min="3833" max="3838" width="0" style="7" hidden="1" customWidth="1"/>
    <col min="3839" max="3839" width="10.109375" style="7" bestFit="1" customWidth="1"/>
    <col min="3840" max="4078" width="9.109375" style="7"/>
    <col min="4079" max="4079" width="75.88671875" style="7" customWidth="1"/>
    <col min="4080" max="4081" width="7.6640625" style="7" customWidth="1"/>
    <col min="4082" max="4082" width="9.6640625" style="7" customWidth="1"/>
    <col min="4083" max="4083" width="7.6640625" style="7" customWidth="1"/>
    <col min="4084" max="4087" width="0" style="7" hidden="1" customWidth="1"/>
    <col min="4088" max="4088" width="14.33203125" style="7" customWidth="1"/>
    <col min="4089" max="4094" width="0" style="7" hidden="1" customWidth="1"/>
    <col min="4095" max="4095" width="10.109375" style="7" bestFit="1" customWidth="1"/>
    <col min="4096" max="4334" width="9.109375" style="7"/>
    <col min="4335" max="4335" width="75.88671875" style="7" customWidth="1"/>
    <col min="4336" max="4337" width="7.6640625" style="7" customWidth="1"/>
    <col min="4338" max="4338" width="9.6640625" style="7" customWidth="1"/>
    <col min="4339" max="4339" width="7.6640625" style="7" customWidth="1"/>
    <col min="4340" max="4343" width="0" style="7" hidden="1" customWidth="1"/>
    <col min="4344" max="4344" width="14.33203125" style="7" customWidth="1"/>
    <col min="4345" max="4350" width="0" style="7" hidden="1" customWidth="1"/>
    <col min="4351" max="4351" width="10.109375" style="7" bestFit="1" customWidth="1"/>
    <col min="4352" max="4590" width="9.109375" style="7"/>
    <col min="4591" max="4591" width="75.88671875" style="7" customWidth="1"/>
    <col min="4592" max="4593" width="7.6640625" style="7" customWidth="1"/>
    <col min="4594" max="4594" width="9.6640625" style="7" customWidth="1"/>
    <col min="4595" max="4595" width="7.6640625" style="7" customWidth="1"/>
    <col min="4596" max="4599" width="0" style="7" hidden="1" customWidth="1"/>
    <col min="4600" max="4600" width="14.33203125" style="7" customWidth="1"/>
    <col min="4601" max="4606" width="0" style="7" hidden="1" customWidth="1"/>
    <col min="4607" max="4607" width="10.109375" style="7" bestFit="1" customWidth="1"/>
    <col min="4608" max="4846" width="9.109375" style="7"/>
    <col min="4847" max="4847" width="75.88671875" style="7" customWidth="1"/>
    <col min="4848" max="4849" width="7.6640625" style="7" customWidth="1"/>
    <col min="4850" max="4850" width="9.6640625" style="7" customWidth="1"/>
    <col min="4851" max="4851" width="7.6640625" style="7" customWidth="1"/>
    <col min="4852" max="4855" width="0" style="7" hidden="1" customWidth="1"/>
    <col min="4856" max="4856" width="14.33203125" style="7" customWidth="1"/>
    <col min="4857" max="4862" width="0" style="7" hidden="1" customWidth="1"/>
    <col min="4863" max="4863" width="10.109375" style="7" bestFit="1" customWidth="1"/>
    <col min="4864" max="5102" width="9.109375" style="7"/>
    <col min="5103" max="5103" width="75.88671875" style="7" customWidth="1"/>
    <col min="5104" max="5105" width="7.6640625" style="7" customWidth="1"/>
    <col min="5106" max="5106" width="9.6640625" style="7" customWidth="1"/>
    <col min="5107" max="5107" width="7.6640625" style="7" customWidth="1"/>
    <col min="5108" max="5111" width="0" style="7" hidden="1" customWidth="1"/>
    <col min="5112" max="5112" width="14.33203125" style="7" customWidth="1"/>
    <col min="5113" max="5118" width="0" style="7" hidden="1" customWidth="1"/>
    <col min="5119" max="5119" width="10.109375" style="7" bestFit="1" customWidth="1"/>
    <col min="5120" max="5358" width="9.109375" style="7"/>
    <col min="5359" max="5359" width="75.88671875" style="7" customWidth="1"/>
    <col min="5360" max="5361" width="7.6640625" style="7" customWidth="1"/>
    <col min="5362" max="5362" width="9.6640625" style="7" customWidth="1"/>
    <col min="5363" max="5363" width="7.6640625" style="7" customWidth="1"/>
    <col min="5364" max="5367" width="0" style="7" hidden="1" customWidth="1"/>
    <col min="5368" max="5368" width="14.33203125" style="7" customWidth="1"/>
    <col min="5369" max="5374" width="0" style="7" hidden="1" customWidth="1"/>
    <col min="5375" max="5375" width="10.109375" style="7" bestFit="1" customWidth="1"/>
    <col min="5376" max="5614" width="9.109375" style="7"/>
    <col min="5615" max="5615" width="75.88671875" style="7" customWidth="1"/>
    <col min="5616" max="5617" width="7.6640625" style="7" customWidth="1"/>
    <col min="5618" max="5618" width="9.6640625" style="7" customWidth="1"/>
    <col min="5619" max="5619" width="7.6640625" style="7" customWidth="1"/>
    <col min="5620" max="5623" width="0" style="7" hidden="1" customWidth="1"/>
    <col min="5624" max="5624" width="14.33203125" style="7" customWidth="1"/>
    <col min="5625" max="5630" width="0" style="7" hidden="1" customWidth="1"/>
    <col min="5631" max="5631" width="10.109375" style="7" bestFit="1" customWidth="1"/>
    <col min="5632" max="5870" width="9.109375" style="7"/>
    <col min="5871" max="5871" width="75.88671875" style="7" customWidth="1"/>
    <col min="5872" max="5873" width="7.6640625" style="7" customWidth="1"/>
    <col min="5874" max="5874" width="9.6640625" style="7" customWidth="1"/>
    <col min="5875" max="5875" width="7.6640625" style="7" customWidth="1"/>
    <col min="5876" max="5879" width="0" style="7" hidden="1" customWidth="1"/>
    <col min="5880" max="5880" width="14.33203125" style="7" customWidth="1"/>
    <col min="5881" max="5886" width="0" style="7" hidden="1" customWidth="1"/>
    <col min="5887" max="5887" width="10.109375" style="7" bestFit="1" customWidth="1"/>
    <col min="5888" max="6126" width="9.109375" style="7"/>
    <col min="6127" max="6127" width="75.88671875" style="7" customWidth="1"/>
    <col min="6128" max="6129" width="7.6640625" style="7" customWidth="1"/>
    <col min="6130" max="6130" width="9.6640625" style="7" customWidth="1"/>
    <col min="6131" max="6131" width="7.6640625" style="7" customWidth="1"/>
    <col min="6132" max="6135" width="0" style="7" hidden="1" customWidth="1"/>
    <col min="6136" max="6136" width="14.33203125" style="7" customWidth="1"/>
    <col min="6137" max="6142" width="0" style="7" hidden="1" customWidth="1"/>
    <col min="6143" max="6143" width="10.109375" style="7" bestFit="1" customWidth="1"/>
    <col min="6144" max="6382" width="9.109375" style="7"/>
    <col min="6383" max="6383" width="75.88671875" style="7" customWidth="1"/>
    <col min="6384" max="6385" width="7.6640625" style="7" customWidth="1"/>
    <col min="6386" max="6386" width="9.6640625" style="7" customWidth="1"/>
    <col min="6387" max="6387" width="7.6640625" style="7" customWidth="1"/>
    <col min="6388" max="6391" width="0" style="7" hidden="1" customWidth="1"/>
    <col min="6392" max="6392" width="14.33203125" style="7" customWidth="1"/>
    <col min="6393" max="6398" width="0" style="7" hidden="1" customWidth="1"/>
    <col min="6399" max="6399" width="10.109375" style="7" bestFit="1" customWidth="1"/>
    <col min="6400" max="6638" width="9.109375" style="7"/>
    <col min="6639" max="6639" width="75.88671875" style="7" customWidth="1"/>
    <col min="6640" max="6641" width="7.6640625" style="7" customWidth="1"/>
    <col min="6642" max="6642" width="9.6640625" style="7" customWidth="1"/>
    <col min="6643" max="6643" width="7.6640625" style="7" customWidth="1"/>
    <col min="6644" max="6647" width="0" style="7" hidden="1" customWidth="1"/>
    <col min="6648" max="6648" width="14.33203125" style="7" customWidth="1"/>
    <col min="6649" max="6654" width="0" style="7" hidden="1" customWidth="1"/>
    <col min="6655" max="6655" width="10.109375" style="7" bestFit="1" customWidth="1"/>
    <col min="6656" max="6894" width="9.109375" style="7"/>
    <col min="6895" max="6895" width="75.88671875" style="7" customWidth="1"/>
    <col min="6896" max="6897" width="7.6640625" style="7" customWidth="1"/>
    <col min="6898" max="6898" width="9.6640625" style="7" customWidth="1"/>
    <col min="6899" max="6899" width="7.6640625" style="7" customWidth="1"/>
    <col min="6900" max="6903" width="0" style="7" hidden="1" customWidth="1"/>
    <col min="6904" max="6904" width="14.33203125" style="7" customWidth="1"/>
    <col min="6905" max="6910" width="0" style="7" hidden="1" customWidth="1"/>
    <col min="6911" max="6911" width="10.109375" style="7" bestFit="1" customWidth="1"/>
    <col min="6912" max="7150" width="9.109375" style="7"/>
    <col min="7151" max="7151" width="75.88671875" style="7" customWidth="1"/>
    <col min="7152" max="7153" width="7.6640625" style="7" customWidth="1"/>
    <col min="7154" max="7154" width="9.6640625" style="7" customWidth="1"/>
    <col min="7155" max="7155" width="7.6640625" style="7" customWidth="1"/>
    <col min="7156" max="7159" width="0" style="7" hidden="1" customWidth="1"/>
    <col min="7160" max="7160" width="14.33203125" style="7" customWidth="1"/>
    <col min="7161" max="7166" width="0" style="7" hidden="1" customWidth="1"/>
    <col min="7167" max="7167" width="10.109375" style="7" bestFit="1" customWidth="1"/>
    <col min="7168" max="7406" width="9.109375" style="7"/>
    <col min="7407" max="7407" width="75.88671875" style="7" customWidth="1"/>
    <col min="7408" max="7409" width="7.6640625" style="7" customWidth="1"/>
    <col min="7410" max="7410" width="9.6640625" style="7" customWidth="1"/>
    <col min="7411" max="7411" width="7.6640625" style="7" customWidth="1"/>
    <col min="7412" max="7415" width="0" style="7" hidden="1" customWidth="1"/>
    <col min="7416" max="7416" width="14.33203125" style="7" customWidth="1"/>
    <col min="7417" max="7422" width="0" style="7" hidden="1" customWidth="1"/>
    <col min="7423" max="7423" width="10.109375" style="7" bestFit="1" customWidth="1"/>
    <col min="7424" max="7662" width="9.109375" style="7"/>
    <col min="7663" max="7663" width="75.88671875" style="7" customWidth="1"/>
    <col min="7664" max="7665" width="7.6640625" style="7" customWidth="1"/>
    <col min="7666" max="7666" width="9.6640625" style="7" customWidth="1"/>
    <col min="7667" max="7667" width="7.6640625" style="7" customWidth="1"/>
    <col min="7668" max="7671" width="0" style="7" hidden="1" customWidth="1"/>
    <col min="7672" max="7672" width="14.33203125" style="7" customWidth="1"/>
    <col min="7673" max="7678" width="0" style="7" hidden="1" customWidth="1"/>
    <col min="7679" max="7679" width="10.109375" style="7" bestFit="1" customWidth="1"/>
    <col min="7680" max="7918" width="9.109375" style="7"/>
    <col min="7919" max="7919" width="75.88671875" style="7" customWidth="1"/>
    <col min="7920" max="7921" width="7.6640625" style="7" customWidth="1"/>
    <col min="7922" max="7922" width="9.6640625" style="7" customWidth="1"/>
    <col min="7923" max="7923" width="7.6640625" style="7" customWidth="1"/>
    <col min="7924" max="7927" width="0" style="7" hidden="1" customWidth="1"/>
    <col min="7928" max="7928" width="14.33203125" style="7" customWidth="1"/>
    <col min="7929" max="7934" width="0" style="7" hidden="1" customWidth="1"/>
    <col min="7935" max="7935" width="10.109375" style="7" bestFit="1" customWidth="1"/>
    <col min="7936" max="8174" width="9.109375" style="7"/>
    <col min="8175" max="8175" width="75.88671875" style="7" customWidth="1"/>
    <col min="8176" max="8177" width="7.6640625" style="7" customWidth="1"/>
    <col min="8178" max="8178" width="9.6640625" style="7" customWidth="1"/>
    <col min="8179" max="8179" width="7.6640625" style="7" customWidth="1"/>
    <col min="8180" max="8183" width="0" style="7" hidden="1" customWidth="1"/>
    <col min="8184" max="8184" width="14.33203125" style="7" customWidth="1"/>
    <col min="8185" max="8190" width="0" style="7" hidden="1" customWidth="1"/>
    <col min="8191" max="8191" width="10.109375" style="7" bestFit="1" customWidth="1"/>
    <col min="8192" max="8430" width="9.109375" style="7"/>
    <col min="8431" max="8431" width="75.88671875" style="7" customWidth="1"/>
    <col min="8432" max="8433" width="7.6640625" style="7" customWidth="1"/>
    <col min="8434" max="8434" width="9.6640625" style="7" customWidth="1"/>
    <col min="8435" max="8435" width="7.6640625" style="7" customWidth="1"/>
    <col min="8436" max="8439" width="0" style="7" hidden="1" customWidth="1"/>
    <col min="8440" max="8440" width="14.33203125" style="7" customWidth="1"/>
    <col min="8441" max="8446" width="0" style="7" hidden="1" customWidth="1"/>
    <col min="8447" max="8447" width="10.109375" style="7" bestFit="1" customWidth="1"/>
    <col min="8448" max="8686" width="9.109375" style="7"/>
    <col min="8687" max="8687" width="75.88671875" style="7" customWidth="1"/>
    <col min="8688" max="8689" width="7.6640625" style="7" customWidth="1"/>
    <col min="8690" max="8690" width="9.6640625" style="7" customWidth="1"/>
    <col min="8691" max="8691" width="7.6640625" style="7" customWidth="1"/>
    <col min="8692" max="8695" width="0" style="7" hidden="1" customWidth="1"/>
    <col min="8696" max="8696" width="14.33203125" style="7" customWidth="1"/>
    <col min="8697" max="8702" width="0" style="7" hidden="1" customWidth="1"/>
    <col min="8703" max="8703" width="10.109375" style="7" bestFit="1" customWidth="1"/>
    <col min="8704" max="8942" width="9.109375" style="7"/>
    <col min="8943" max="8943" width="75.88671875" style="7" customWidth="1"/>
    <col min="8944" max="8945" width="7.6640625" style="7" customWidth="1"/>
    <col min="8946" max="8946" width="9.6640625" style="7" customWidth="1"/>
    <col min="8947" max="8947" width="7.6640625" style="7" customWidth="1"/>
    <col min="8948" max="8951" width="0" style="7" hidden="1" customWidth="1"/>
    <col min="8952" max="8952" width="14.33203125" style="7" customWidth="1"/>
    <col min="8953" max="8958" width="0" style="7" hidden="1" customWidth="1"/>
    <col min="8959" max="8959" width="10.109375" style="7" bestFit="1" customWidth="1"/>
    <col min="8960" max="9198" width="9.109375" style="7"/>
    <col min="9199" max="9199" width="75.88671875" style="7" customWidth="1"/>
    <col min="9200" max="9201" width="7.6640625" style="7" customWidth="1"/>
    <col min="9202" max="9202" width="9.6640625" style="7" customWidth="1"/>
    <col min="9203" max="9203" width="7.6640625" style="7" customWidth="1"/>
    <col min="9204" max="9207" width="0" style="7" hidden="1" customWidth="1"/>
    <col min="9208" max="9208" width="14.33203125" style="7" customWidth="1"/>
    <col min="9209" max="9214" width="0" style="7" hidden="1" customWidth="1"/>
    <col min="9215" max="9215" width="10.109375" style="7" bestFit="1" customWidth="1"/>
    <col min="9216" max="9454" width="9.109375" style="7"/>
    <col min="9455" max="9455" width="75.88671875" style="7" customWidth="1"/>
    <col min="9456" max="9457" width="7.6640625" style="7" customWidth="1"/>
    <col min="9458" max="9458" width="9.6640625" style="7" customWidth="1"/>
    <col min="9459" max="9459" width="7.6640625" style="7" customWidth="1"/>
    <col min="9460" max="9463" width="0" style="7" hidden="1" customWidth="1"/>
    <col min="9464" max="9464" width="14.33203125" style="7" customWidth="1"/>
    <col min="9465" max="9470" width="0" style="7" hidden="1" customWidth="1"/>
    <col min="9471" max="9471" width="10.109375" style="7" bestFit="1" customWidth="1"/>
    <col min="9472" max="9710" width="9.109375" style="7"/>
    <col min="9711" max="9711" width="75.88671875" style="7" customWidth="1"/>
    <col min="9712" max="9713" width="7.6640625" style="7" customWidth="1"/>
    <col min="9714" max="9714" width="9.6640625" style="7" customWidth="1"/>
    <col min="9715" max="9715" width="7.6640625" style="7" customWidth="1"/>
    <col min="9716" max="9719" width="0" style="7" hidden="1" customWidth="1"/>
    <col min="9720" max="9720" width="14.33203125" style="7" customWidth="1"/>
    <col min="9721" max="9726" width="0" style="7" hidden="1" customWidth="1"/>
    <col min="9727" max="9727" width="10.109375" style="7" bestFit="1" customWidth="1"/>
    <col min="9728" max="9966" width="9.109375" style="7"/>
    <col min="9967" max="9967" width="75.88671875" style="7" customWidth="1"/>
    <col min="9968" max="9969" width="7.6640625" style="7" customWidth="1"/>
    <col min="9970" max="9970" width="9.6640625" style="7" customWidth="1"/>
    <col min="9971" max="9971" width="7.6640625" style="7" customWidth="1"/>
    <col min="9972" max="9975" width="0" style="7" hidden="1" customWidth="1"/>
    <col min="9976" max="9976" width="14.33203125" style="7" customWidth="1"/>
    <col min="9977" max="9982" width="0" style="7" hidden="1" customWidth="1"/>
    <col min="9983" max="9983" width="10.109375" style="7" bestFit="1" customWidth="1"/>
    <col min="9984" max="10222" width="9.109375" style="7"/>
    <col min="10223" max="10223" width="75.88671875" style="7" customWidth="1"/>
    <col min="10224" max="10225" width="7.6640625" style="7" customWidth="1"/>
    <col min="10226" max="10226" width="9.6640625" style="7" customWidth="1"/>
    <col min="10227" max="10227" width="7.6640625" style="7" customWidth="1"/>
    <col min="10228" max="10231" width="0" style="7" hidden="1" customWidth="1"/>
    <col min="10232" max="10232" width="14.33203125" style="7" customWidth="1"/>
    <col min="10233" max="10238" width="0" style="7" hidden="1" customWidth="1"/>
    <col min="10239" max="10239" width="10.109375" style="7" bestFit="1" customWidth="1"/>
    <col min="10240" max="10478" width="9.109375" style="7"/>
    <col min="10479" max="10479" width="75.88671875" style="7" customWidth="1"/>
    <col min="10480" max="10481" width="7.6640625" style="7" customWidth="1"/>
    <col min="10482" max="10482" width="9.6640625" style="7" customWidth="1"/>
    <col min="10483" max="10483" width="7.6640625" style="7" customWidth="1"/>
    <col min="10484" max="10487" width="0" style="7" hidden="1" customWidth="1"/>
    <col min="10488" max="10488" width="14.33203125" style="7" customWidth="1"/>
    <col min="10489" max="10494" width="0" style="7" hidden="1" customWidth="1"/>
    <col min="10495" max="10495" width="10.109375" style="7" bestFit="1" customWidth="1"/>
    <col min="10496" max="10734" width="9.109375" style="7"/>
    <col min="10735" max="10735" width="75.88671875" style="7" customWidth="1"/>
    <col min="10736" max="10737" width="7.6640625" style="7" customWidth="1"/>
    <col min="10738" max="10738" width="9.6640625" style="7" customWidth="1"/>
    <col min="10739" max="10739" width="7.6640625" style="7" customWidth="1"/>
    <col min="10740" max="10743" width="0" style="7" hidden="1" customWidth="1"/>
    <col min="10744" max="10744" width="14.33203125" style="7" customWidth="1"/>
    <col min="10745" max="10750" width="0" style="7" hidden="1" customWidth="1"/>
    <col min="10751" max="10751" width="10.109375" style="7" bestFit="1" customWidth="1"/>
    <col min="10752" max="10990" width="9.109375" style="7"/>
    <col min="10991" max="10991" width="75.88671875" style="7" customWidth="1"/>
    <col min="10992" max="10993" width="7.6640625" style="7" customWidth="1"/>
    <col min="10994" max="10994" width="9.6640625" style="7" customWidth="1"/>
    <col min="10995" max="10995" width="7.6640625" style="7" customWidth="1"/>
    <col min="10996" max="10999" width="0" style="7" hidden="1" customWidth="1"/>
    <col min="11000" max="11000" width="14.33203125" style="7" customWidth="1"/>
    <col min="11001" max="11006" width="0" style="7" hidden="1" customWidth="1"/>
    <col min="11007" max="11007" width="10.109375" style="7" bestFit="1" customWidth="1"/>
    <col min="11008" max="11246" width="9.109375" style="7"/>
    <col min="11247" max="11247" width="75.88671875" style="7" customWidth="1"/>
    <col min="11248" max="11249" width="7.6640625" style="7" customWidth="1"/>
    <col min="11250" max="11250" width="9.6640625" style="7" customWidth="1"/>
    <col min="11251" max="11251" width="7.6640625" style="7" customWidth="1"/>
    <col min="11252" max="11255" width="0" style="7" hidden="1" customWidth="1"/>
    <col min="11256" max="11256" width="14.33203125" style="7" customWidth="1"/>
    <col min="11257" max="11262" width="0" style="7" hidden="1" customWidth="1"/>
    <col min="11263" max="11263" width="10.109375" style="7" bestFit="1" customWidth="1"/>
    <col min="11264" max="11502" width="9.109375" style="7"/>
    <col min="11503" max="11503" width="75.88671875" style="7" customWidth="1"/>
    <col min="11504" max="11505" width="7.6640625" style="7" customWidth="1"/>
    <col min="11506" max="11506" width="9.6640625" style="7" customWidth="1"/>
    <col min="11507" max="11507" width="7.6640625" style="7" customWidth="1"/>
    <col min="11508" max="11511" width="0" style="7" hidden="1" customWidth="1"/>
    <col min="11512" max="11512" width="14.33203125" style="7" customWidth="1"/>
    <col min="11513" max="11518" width="0" style="7" hidden="1" customWidth="1"/>
    <col min="11519" max="11519" width="10.109375" style="7" bestFit="1" customWidth="1"/>
    <col min="11520" max="11758" width="9.109375" style="7"/>
    <col min="11759" max="11759" width="75.88671875" style="7" customWidth="1"/>
    <col min="11760" max="11761" width="7.6640625" style="7" customWidth="1"/>
    <col min="11762" max="11762" width="9.6640625" style="7" customWidth="1"/>
    <col min="11763" max="11763" width="7.6640625" style="7" customWidth="1"/>
    <col min="11764" max="11767" width="0" style="7" hidden="1" customWidth="1"/>
    <col min="11768" max="11768" width="14.33203125" style="7" customWidth="1"/>
    <col min="11769" max="11774" width="0" style="7" hidden="1" customWidth="1"/>
    <col min="11775" max="11775" width="10.109375" style="7" bestFit="1" customWidth="1"/>
    <col min="11776" max="12014" width="9.109375" style="7"/>
    <col min="12015" max="12015" width="75.88671875" style="7" customWidth="1"/>
    <col min="12016" max="12017" width="7.6640625" style="7" customWidth="1"/>
    <col min="12018" max="12018" width="9.6640625" style="7" customWidth="1"/>
    <col min="12019" max="12019" width="7.6640625" style="7" customWidth="1"/>
    <col min="12020" max="12023" width="0" style="7" hidden="1" customWidth="1"/>
    <col min="12024" max="12024" width="14.33203125" style="7" customWidth="1"/>
    <col min="12025" max="12030" width="0" style="7" hidden="1" customWidth="1"/>
    <col min="12031" max="12031" width="10.109375" style="7" bestFit="1" customWidth="1"/>
    <col min="12032" max="12270" width="9.109375" style="7"/>
    <col min="12271" max="12271" width="75.88671875" style="7" customWidth="1"/>
    <col min="12272" max="12273" width="7.6640625" style="7" customWidth="1"/>
    <col min="12274" max="12274" width="9.6640625" style="7" customWidth="1"/>
    <col min="12275" max="12275" width="7.6640625" style="7" customWidth="1"/>
    <col min="12276" max="12279" width="0" style="7" hidden="1" customWidth="1"/>
    <col min="12280" max="12280" width="14.33203125" style="7" customWidth="1"/>
    <col min="12281" max="12286" width="0" style="7" hidden="1" customWidth="1"/>
    <col min="12287" max="12287" width="10.109375" style="7" bestFit="1" customWidth="1"/>
    <col min="12288" max="12526" width="9.109375" style="7"/>
    <col min="12527" max="12527" width="75.88671875" style="7" customWidth="1"/>
    <col min="12528" max="12529" width="7.6640625" style="7" customWidth="1"/>
    <col min="12530" max="12530" width="9.6640625" style="7" customWidth="1"/>
    <col min="12531" max="12531" width="7.6640625" style="7" customWidth="1"/>
    <col min="12532" max="12535" width="0" style="7" hidden="1" customWidth="1"/>
    <col min="12536" max="12536" width="14.33203125" style="7" customWidth="1"/>
    <col min="12537" max="12542" width="0" style="7" hidden="1" customWidth="1"/>
    <col min="12543" max="12543" width="10.109375" style="7" bestFit="1" customWidth="1"/>
    <col min="12544" max="12782" width="9.109375" style="7"/>
    <col min="12783" max="12783" width="75.88671875" style="7" customWidth="1"/>
    <col min="12784" max="12785" width="7.6640625" style="7" customWidth="1"/>
    <col min="12786" max="12786" width="9.6640625" style="7" customWidth="1"/>
    <col min="12787" max="12787" width="7.6640625" style="7" customWidth="1"/>
    <col min="12788" max="12791" width="0" style="7" hidden="1" customWidth="1"/>
    <col min="12792" max="12792" width="14.33203125" style="7" customWidth="1"/>
    <col min="12793" max="12798" width="0" style="7" hidden="1" customWidth="1"/>
    <col min="12799" max="12799" width="10.109375" style="7" bestFit="1" customWidth="1"/>
    <col min="12800" max="13038" width="9.109375" style="7"/>
    <col min="13039" max="13039" width="75.88671875" style="7" customWidth="1"/>
    <col min="13040" max="13041" width="7.6640625" style="7" customWidth="1"/>
    <col min="13042" max="13042" width="9.6640625" style="7" customWidth="1"/>
    <col min="13043" max="13043" width="7.6640625" style="7" customWidth="1"/>
    <col min="13044" max="13047" width="0" style="7" hidden="1" customWidth="1"/>
    <col min="13048" max="13048" width="14.33203125" style="7" customWidth="1"/>
    <col min="13049" max="13054" width="0" style="7" hidden="1" customWidth="1"/>
    <col min="13055" max="13055" width="10.109375" style="7" bestFit="1" customWidth="1"/>
    <col min="13056" max="13294" width="9.109375" style="7"/>
    <col min="13295" max="13295" width="75.88671875" style="7" customWidth="1"/>
    <col min="13296" max="13297" width="7.6640625" style="7" customWidth="1"/>
    <col min="13298" max="13298" width="9.6640625" style="7" customWidth="1"/>
    <col min="13299" max="13299" width="7.6640625" style="7" customWidth="1"/>
    <col min="13300" max="13303" width="0" style="7" hidden="1" customWidth="1"/>
    <col min="13304" max="13304" width="14.33203125" style="7" customWidth="1"/>
    <col min="13305" max="13310" width="0" style="7" hidden="1" customWidth="1"/>
    <col min="13311" max="13311" width="10.109375" style="7" bestFit="1" customWidth="1"/>
    <col min="13312" max="13550" width="9.109375" style="7"/>
    <col min="13551" max="13551" width="75.88671875" style="7" customWidth="1"/>
    <col min="13552" max="13553" width="7.6640625" style="7" customWidth="1"/>
    <col min="13554" max="13554" width="9.6640625" style="7" customWidth="1"/>
    <col min="13555" max="13555" width="7.6640625" style="7" customWidth="1"/>
    <col min="13556" max="13559" width="0" style="7" hidden="1" customWidth="1"/>
    <col min="13560" max="13560" width="14.33203125" style="7" customWidth="1"/>
    <col min="13561" max="13566" width="0" style="7" hidden="1" customWidth="1"/>
    <col min="13567" max="13567" width="10.109375" style="7" bestFit="1" customWidth="1"/>
    <col min="13568" max="13806" width="9.109375" style="7"/>
    <col min="13807" max="13807" width="75.88671875" style="7" customWidth="1"/>
    <col min="13808" max="13809" width="7.6640625" style="7" customWidth="1"/>
    <col min="13810" max="13810" width="9.6640625" style="7" customWidth="1"/>
    <col min="13811" max="13811" width="7.6640625" style="7" customWidth="1"/>
    <col min="13812" max="13815" width="0" style="7" hidden="1" customWidth="1"/>
    <col min="13816" max="13816" width="14.33203125" style="7" customWidth="1"/>
    <col min="13817" max="13822" width="0" style="7" hidden="1" customWidth="1"/>
    <col min="13823" max="13823" width="10.109375" style="7" bestFit="1" customWidth="1"/>
    <col min="13824" max="14062" width="9.109375" style="7"/>
    <col min="14063" max="14063" width="75.88671875" style="7" customWidth="1"/>
    <col min="14064" max="14065" width="7.6640625" style="7" customWidth="1"/>
    <col min="14066" max="14066" width="9.6640625" style="7" customWidth="1"/>
    <col min="14067" max="14067" width="7.6640625" style="7" customWidth="1"/>
    <col min="14068" max="14071" width="0" style="7" hidden="1" customWidth="1"/>
    <col min="14072" max="14072" width="14.33203125" style="7" customWidth="1"/>
    <col min="14073" max="14078" width="0" style="7" hidden="1" customWidth="1"/>
    <col min="14079" max="14079" width="10.109375" style="7" bestFit="1" customWidth="1"/>
    <col min="14080" max="14318" width="9.109375" style="7"/>
    <col min="14319" max="14319" width="75.88671875" style="7" customWidth="1"/>
    <col min="14320" max="14321" width="7.6640625" style="7" customWidth="1"/>
    <col min="14322" max="14322" width="9.6640625" style="7" customWidth="1"/>
    <col min="14323" max="14323" width="7.6640625" style="7" customWidth="1"/>
    <col min="14324" max="14327" width="0" style="7" hidden="1" customWidth="1"/>
    <col min="14328" max="14328" width="14.33203125" style="7" customWidth="1"/>
    <col min="14329" max="14334" width="0" style="7" hidden="1" customWidth="1"/>
    <col min="14335" max="14335" width="10.109375" style="7" bestFit="1" customWidth="1"/>
    <col min="14336" max="14574" width="9.109375" style="7"/>
    <col min="14575" max="14575" width="75.88671875" style="7" customWidth="1"/>
    <col min="14576" max="14577" width="7.6640625" style="7" customWidth="1"/>
    <col min="14578" max="14578" width="9.6640625" style="7" customWidth="1"/>
    <col min="14579" max="14579" width="7.6640625" style="7" customWidth="1"/>
    <col min="14580" max="14583" width="0" style="7" hidden="1" customWidth="1"/>
    <col min="14584" max="14584" width="14.33203125" style="7" customWidth="1"/>
    <col min="14585" max="14590" width="0" style="7" hidden="1" customWidth="1"/>
    <col min="14591" max="14591" width="10.109375" style="7" bestFit="1" customWidth="1"/>
    <col min="14592" max="14830" width="9.109375" style="7"/>
    <col min="14831" max="14831" width="75.88671875" style="7" customWidth="1"/>
    <col min="14832" max="14833" width="7.6640625" style="7" customWidth="1"/>
    <col min="14834" max="14834" width="9.6640625" style="7" customWidth="1"/>
    <col min="14835" max="14835" width="7.6640625" style="7" customWidth="1"/>
    <col min="14836" max="14839" width="0" style="7" hidden="1" customWidth="1"/>
    <col min="14840" max="14840" width="14.33203125" style="7" customWidth="1"/>
    <col min="14841" max="14846" width="0" style="7" hidden="1" customWidth="1"/>
    <col min="14847" max="14847" width="10.109375" style="7" bestFit="1" customWidth="1"/>
    <col min="14848" max="15086" width="9.109375" style="7"/>
    <col min="15087" max="15087" width="75.88671875" style="7" customWidth="1"/>
    <col min="15088" max="15089" width="7.6640625" style="7" customWidth="1"/>
    <col min="15090" max="15090" width="9.6640625" style="7" customWidth="1"/>
    <col min="15091" max="15091" width="7.6640625" style="7" customWidth="1"/>
    <col min="15092" max="15095" width="0" style="7" hidden="1" customWidth="1"/>
    <col min="15096" max="15096" width="14.33203125" style="7" customWidth="1"/>
    <col min="15097" max="15102" width="0" style="7" hidden="1" customWidth="1"/>
    <col min="15103" max="15103" width="10.109375" style="7" bestFit="1" customWidth="1"/>
    <col min="15104" max="15342" width="9.109375" style="7"/>
    <col min="15343" max="15343" width="75.88671875" style="7" customWidth="1"/>
    <col min="15344" max="15345" width="7.6640625" style="7" customWidth="1"/>
    <col min="15346" max="15346" width="9.6640625" style="7" customWidth="1"/>
    <col min="15347" max="15347" width="7.6640625" style="7" customWidth="1"/>
    <col min="15348" max="15351" width="0" style="7" hidden="1" customWidth="1"/>
    <col min="15352" max="15352" width="14.33203125" style="7" customWidth="1"/>
    <col min="15353" max="15358" width="0" style="7" hidden="1" customWidth="1"/>
    <col min="15359" max="15359" width="10.109375" style="7" bestFit="1" customWidth="1"/>
    <col min="15360" max="15598" width="9.109375" style="7"/>
    <col min="15599" max="15599" width="75.88671875" style="7" customWidth="1"/>
    <col min="15600" max="15601" width="7.6640625" style="7" customWidth="1"/>
    <col min="15602" max="15602" width="9.6640625" style="7" customWidth="1"/>
    <col min="15603" max="15603" width="7.6640625" style="7" customWidth="1"/>
    <col min="15604" max="15607" width="0" style="7" hidden="1" customWidth="1"/>
    <col min="15608" max="15608" width="14.33203125" style="7" customWidth="1"/>
    <col min="15609" max="15614" width="0" style="7" hidden="1" customWidth="1"/>
    <col min="15615" max="15615" width="10.109375" style="7" bestFit="1" customWidth="1"/>
    <col min="15616" max="15854" width="9.109375" style="7"/>
    <col min="15855" max="15855" width="75.88671875" style="7" customWidth="1"/>
    <col min="15856" max="15857" width="7.6640625" style="7" customWidth="1"/>
    <col min="15858" max="15858" width="9.6640625" style="7" customWidth="1"/>
    <col min="15859" max="15859" width="7.6640625" style="7" customWidth="1"/>
    <col min="15860" max="15863" width="0" style="7" hidden="1" customWidth="1"/>
    <col min="15864" max="15864" width="14.33203125" style="7" customWidth="1"/>
    <col min="15865" max="15870" width="0" style="7" hidden="1" customWidth="1"/>
    <col min="15871" max="15871" width="10.109375" style="7" bestFit="1" customWidth="1"/>
    <col min="15872" max="16110" width="9.109375" style="7"/>
    <col min="16111" max="16111" width="75.88671875" style="7" customWidth="1"/>
    <col min="16112" max="16113" width="7.6640625" style="7" customWidth="1"/>
    <col min="16114" max="16114" width="9.6640625" style="7" customWidth="1"/>
    <col min="16115" max="16115" width="7.6640625" style="7" customWidth="1"/>
    <col min="16116" max="16119" width="0" style="7" hidden="1" customWidth="1"/>
    <col min="16120" max="16120" width="14.33203125" style="7" customWidth="1"/>
    <col min="16121" max="16126" width="0" style="7" hidden="1" customWidth="1"/>
    <col min="16127" max="16127" width="10.109375" style="7" bestFit="1" customWidth="1"/>
    <col min="16128" max="16384" width="9.109375" style="7"/>
  </cols>
  <sheetData>
    <row r="1" spans="1:8">
      <c r="E1" s="7"/>
      <c r="F1" s="367" t="s">
        <v>954</v>
      </c>
      <c r="G1" s="368"/>
    </row>
    <row r="2" spans="1:8">
      <c r="E2" s="367" t="s">
        <v>933</v>
      </c>
      <c r="F2" s="367"/>
      <c r="G2" s="367"/>
    </row>
    <row r="3" spans="1:8">
      <c r="E3" s="7"/>
      <c r="F3" s="367" t="s">
        <v>940</v>
      </c>
      <c r="G3" s="367"/>
    </row>
    <row r="4" spans="1:8">
      <c r="E4" s="7"/>
      <c r="F4" s="367" t="s">
        <v>944</v>
      </c>
      <c r="G4" s="367"/>
    </row>
    <row r="5" spans="1:8">
      <c r="E5" s="7"/>
      <c r="F5" s="367" t="s">
        <v>846</v>
      </c>
      <c r="G5" s="367"/>
    </row>
    <row r="6" spans="1:8">
      <c r="E6" s="367" t="s">
        <v>930</v>
      </c>
      <c r="F6" s="367"/>
      <c r="G6" s="367"/>
    </row>
    <row r="7" spans="1:8">
      <c r="E7" s="7"/>
      <c r="F7" s="367" t="s">
        <v>664</v>
      </c>
      <c r="G7" s="367"/>
    </row>
    <row r="8" spans="1:8">
      <c r="E8" s="7"/>
      <c r="F8" s="346"/>
      <c r="G8" s="257" t="s">
        <v>937</v>
      </c>
    </row>
    <row r="9" spans="1:8" s="259" customFormat="1">
      <c r="A9" s="362" t="s">
        <v>240</v>
      </c>
      <c r="B9" s="362"/>
      <c r="C9" s="362"/>
      <c r="D9" s="362"/>
      <c r="E9" s="362"/>
      <c r="F9" s="362"/>
      <c r="G9" s="258"/>
      <c r="H9" s="258"/>
    </row>
    <row r="10" spans="1:8" s="259" customFormat="1">
      <c r="A10" s="363" t="s">
        <v>928</v>
      </c>
      <c r="B10" s="363"/>
      <c r="C10" s="363"/>
      <c r="D10" s="363"/>
      <c r="E10" s="363"/>
      <c r="F10" s="363"/>
      <c r="G10" s="258"/>
      <c r="H10" s="258"/>
    </row>
    <row r="11" spans="1:8" s="259" customFormat="1">
      <c r="A11" s="363" t="s">
        <v>929</v>
      </c>
      <c r="B11" s="363"/>
      <c r="C11" s="363"/>
      <c r="D11" s="363"/>
      <c r="E11" s="363"/>
      <c r="F11" s="363"/>
      <c r="G11" s="258"/>
      <c r="H11" s="258"/>
    </row>
    <row r="12" spans="1:8" s="259" customFormat="1">
      <c r="A12" s="260"/>
      <c r="B12" s="338"/>
      <c r="C12" s="338"/>
      <c r="D12" s="338"/>
      <c r="E12" s="338"/>
      <c r="F12" s="261"/>
      <c r="G12" s="261" t="s">
        <v>408</v>
      </c>
      <c r="H12" s="258"/>
    </row>
    <row r="13" spans="1:8">
      <c r="A13" s="262" t="s">
        <v>0</v>
      </c>
      <c r="B13" s="262" t="s">
        <v>1</v>
      </c>
      <c r="C13" s="262" t="s">
        <v>2</v>
      </c>
      <c r="D13" s="262" t="s">
        <v>3</v>
      </c>
      <c r="E13" s="262" t="s">
        <v>4</v>
      </c>
      <c r="F13" s="178" t="s">
        <v>812</v>
      </c>
      <c r="G13" s="178" t="s">
        <v>813</v>
      </c>
    </row>
    <row r="14" spans="1:8" s="264" customFormat="1" ht="52.2">
      <c r="A14" s="191" t="s">
        <v>497</v>
      </c>
      <c r="B14" s="192" t="s">
        <v>503</v>
      </c>
      <c r="C14" s="192" t="s">
        <v>5</v>
      </c>
      <c r="D14" s="192" t="s">
        <v>126</v>
      </c>
      <c r="E14" s="193" t="s">
        <v>6</v>
      </c>
      <c r="F14" s="215">
        <f>F15</f>
        <v>8050477.2300000004</v>
      </c>
      <c r="G14" s="215">
        <f>G15</f>
        <v>8341070.0800000001</v>
      </c>
      <c r="H14" s="263"/>
    </row>
    <row r="15" spans="1:8" outlineLevel="1">
      <c r="A15" s="164" t="s">
        <v>7</v>
      </c>
      <c r="B15" s="163" t="s">
        <v>503</v>
      </c>
      <c r="C15" s="163" t="s">
        <v>8</v>
      </c>
      <c r="D15" s="163" t="s">
        <v>126</v>
      </c>
      <c r="E15" s="169" t="s">
        <v>6</v>
      </c>
      <c r="F15" s="167">
        <f t="shared" ref="F15:G15" si="0">F16+F25</f>
        <v>8050477.2300000004</v>
      </c>
      <c r="G15" s="167">
        <f t="shared" si="0"/>
        <v>8341070.0800000001</v>
      </c>
    </row>
    <row r="16" spans="1:8" ht="39.15" customHeight="1" outlineLevel="2">
      <c r="A16" s="164" t="s">
        <v>9</v>
      </c>
      <c r="B16" s="163" t="s">
        <v>503</v>
      </c>
      <c r="C16" s="163" t="s">
        <v>10</v>
      </c>
      <c r="D16" s="163" t="s">
        <v>126</v>
      </c>
      <c r="E16" s="169" t="s">
        <v>6</v>
      </c>
      <c r="F16" s="167">
        <f t="shared" ref="F16:G17" si="1">F17</f>
        <v>7515021.2300000004</v>
      </c>
      <c r="G16" s="167">
        <f t="shared" si="1"/>
        <v>7805614.0800000001</v>
      </c>
    </row>
    <row r="17" spans="1:8" ht="36" outlineLevel="4">
      <c r="A17" s="164" t="s">
        <v>132</v>
      </c>
      <c r="B17" s="163" t="s">
        <v>503</v>
      </c>
      <c r="C17" s="163" t="s">
        <v>10</v>
      </c>
      <c r="D17" s="163" t="s">
        <v>127</v>
      </c>
      <c r="E17" s="169" t="s">
        <v>6</v>
      </c>
      <c r="F17" s="167">
        <f t="shared" si="1"/>
        <v>7515021.2300000004</v>
      </c>
      <c r="G17" s="167">
        <f t="shared" si="1"/>
        <v>7805614.0800000001</v>
      </c>
    </row>
    <row r="18" spans="1:8" ht="54" outlineLevel="5">
      <c r="A18" s="164" t="s">
        <v>498</v>
      </c>
      <c r="B18" s="163" t="s">
        <v>503</v>
      </c>
      <c r="C18" s="163" t="s">
        <v>10</v>
      </c>
      <c r="D18" s="163" t="s">
        <v>499</v>
      </c>
      <c r="E18" s="169" t="s">
        <v>6</v>
      </c>
      <c r="F18" s="167">
        <f t="shared" ref="F18:G18" si="2">F19+F21+F23</f>
        <v>7515021.2300000004</v>
      </c>
      <c r="G18" s="167">
        <f t="shared" si="2"/>
        <v>7805614.0800000001</v>
      </c>
    </row>
    <row r="19" spans="1:8" ht="76.650000000000006" customHeight="1" outlineLevel="6">
      <c r="A19" s="164" t="s">
        <v>11</v>
      </c>
      <c r="B19" s="163" t="s">
        <v>503</v>
      </c>
      <c r="C19" s="163" t="s">
        <v>10</v>
      </c>
      <c r="D19" s="163" t="s">
        <v>499</v>
      </c>
      <c r="E19" s="169" t="s">
        <v>12</v>
      </c>
      <c r="F19" s="167">
        <f t="shared" ref="F19:G19" si="3">F20</f>
        <v>7264821.2300000004</v>
      </c>
      <c r="G19" s="167">
        <f t="shared" si="3"/>
        <v>7555414.0800000001</v>
      </c>
    </row>
    <row r="20" spans="1:8" ht="36" outlineLevel="7">
      <c r="A20" s="164" t="s">
        <v>13</v>
      </c>
      <c r="B20" s="163" t="s">
        <v>503</v>
      </c>
      <c r="C20" s="163" t="s">
        <v>10</v>
      </c>
      <c r="D20" s="163" t="s">
        <v>499</v>
      </c>
      <c r="E20" s="169" t="s">
        <v>14</v>
      </c>
      <c r="F20" s="184">
        <v>7264821.2300000004</v>
      </c>
      <c r="G20" s="184">
        <v>7555414.0800000001</v>
      </c>
    </row>
    <row r="21" spans="1:8" ht="36" outlineLevel="6">
      <c r="A21" s="164" t="s">
        <v>15</v>
      </c>
      <c r="B21" s="163" t="s">
        <v>503</v>
      </c>
      <c r="C21" s="163" t="s">
        <v>10</v>
      </c>
      <c r="D21" s="163" t="s">
        <v>499</v>
      </c>
      <c r="E21" s="169" t="s">
        <v>16</v>
      </c>
      <c r="F21" s="167">
        <f t="shared" ref="F21:G21" si="4">F22</f>
        <v>250200</v>
      </c>
      <c r="G21" s="167">
        <f t="shared" si="4"/>
        <v>250200</v>
      </c>
    </row>
    <row r="22" spans="1:8" ht="18.75" customHeight="1" outlineLevel="7">
      <c r="A22" s="164" t="s">
        <v>17</v>
      </c>
      <c r="B22" s="163" t="s">
        <v>503</v>
      </c>
      <c r="C22" s="163" t="s">
        <v>10</v>
      </c>
      <c r="D22" s="163" t="s">
        <v>499</v>
      </c>
      <c r="E22" s="169" t="s">
        <v>18</v>
      </c>
      <c r="F22" s="184">
        <v>250200</v>
      </c>
      <c r="G22" s="184">
        <v>250200</v>
      </c>
    </row>
    <row r="23" spans="1:8" hidden="1" outlineLevel="6">
      <c r="A23" s="164" t="s">
        <v>19</v>
      </c>
      <c r="B23" s="163" t="s">
        <v>503</v>
      </c>
      <c r="C23" s="163" t="s">
        <v>10</v>
      </c>
      <c r="D23" s="163" t="s">
        <v>499</v>
      </c>
      <c r="E23" s="169" t="s">
        <v>20</v>
      </c>
      <c r="F23" s="167">
        <f>F24</f>
        <v>0</v>
      </c>
      <c r="G23" s="167">
        <f>G24</f>
        <v>0</v>
      </c>
    </row>
    <row r="24" spans="1:8" hidden="1" outlineLevel="7">
      <c r="A24" s="164" t="s">
        <v>21</v>
      </c>
      <c r="B24" s="163" t="s">
        <v>503</v>
      </c>
      <c r="C24" s="163" t="s">
        <v>10</v>
      </c>
      <c r="D24" s="163" t="s">
        <v>499</v>
      </c>
      <c r="E24" s="169" t="s">
        <v>22</v>
      </c>
      <c r="F24" s="184">
        <v>0</v>
      </c>
      <c r="G24" s="184">
        <v>0</v>
      </c>
    </row>
    <row r="25" spans="1:8" outlineLevel="2" collapsed="1">
      <c r="A25" s="164" t="s">
        <v>23</v>
      </c>
      <c r="B25" s="163" t="s">
        <v>503</v>
      </c>
      <c r="C25" s="163" t="s">
        <v>24</v>
      </c>
      <c r="D25" s="163" t="s">
        <v>126</v>
      </c>
      <c r="E25" s="169" t="s">
        <v>6</v>
      </c>
      <c r="F25" s="167">
        <f t="shared" ref="F25:G25" si="5">F26+F31</f>
        <v>535456</v>
      </c>
      <c r="G25" s="167">
        <f t="shared" si="5"/>
        <v>535456</v>
      </c>
    </row>
    <row r="26" spans="1:8" s="266" customFormat="1" ht="57.75" customHeight="1" outlineLevel="3">
      <c r="A26" s="196" t="s">
        <v>858</v>
      </c>
      <c r="B26" s="197" t="s">
        <v>503</v>
      </c>
      <c r="C26" s="197" t="s">
        <v>24</v>
      </c>
      <c r="D26" s="197" t="s">
        <v>128</v>
      </c>
      <c r="E26" s="198" t="s">
        <v>6</v>
      </c>
      <c r="F26" s="171">
        <f t="shared" ref="F26:G29" si="6">F27</f>
        <v>58240</v>
      </c>
      <c r="G26" s="171">
        <f t="shared" si="6"/>
        <v>58240</v>
      </c>
      <c r="H26" s="265"/>
    </row>
    <row r="27" spans="1:8" ht="61.5" customHeight="1" outlineLevel="4">
      <c r="A27" s="164" t="s">
        <v>883</v>
      </c>
      <c r="B27" s="163" t="s">
        <v>503</v>
      </c>
      <c r="C27" s="163" t="s">
        <v>24</v>
      </c>
      <c r="D27" s="163" t="s">
        <v>315</v>
      </c>
      <c r="E27" s="169" t="s">
        <v>6</v>
      </c>
      <c r="F27" s="167">
        <f t="shared" si="6"/>
        <v>58240</v>
      </c>
      <c r="G27" s="167">
        <f t="shared" si="6"/>
        <v>58240</v>
      </c>
    </row>
    <row r="28" spans="1:8" outlineLevel="5">
      <c r="A28" s="200" t="s">
        <v>321</v>
      </c>
      <c r="B28" s="163" t="s">
        <v>503</v>
      </c>
      <c r="C28" s="163" t="s">
        <v>24</v>
      </c>
      <c r="D28" s="163" t="s">
        <v>316</v>
      </c>
      <c r="E28" s="169" t="s">
        <v>6</v>
      </c>
      <c r="F28" s="167">
        <f t="shared" si="6"/>
        <v>58240</v>
      </c>
      <c r="G28" s="167">
        <f t="shared" si="6"/>
        <v>58240</v>
      </c>
    </row>
    <row r="29" spans="1:8" ht="36" outlineLevel="6">
      <c r="A29" s="164" t="s">
        <v>15</v>
      </c>
      <c r="B29" s="163" t="s">
        <v>503</v>
      </c>
      <c r="C29" s="163" t="s">
        <v>24</v>
      </c>
      <c r="D29" s="163" t="s">
        <v>316</v>
      </c>
      <c r="E29" s="169" t="s">
        <v>16</v>
      </c>
      <c r="F29" s="167">
        <f t="shared" si="6"/>
        <v>58240</v>
      </c>
      <c r="G29" s="167">
        <f t="shared" si="6"/>
        <v>58240</v>
      </c>
    </row>
    <row r="30" spans="1:8" ht="19.5" customHeight="1" outlineLevel="7">
      <c r="A30" s="164" t="s">
        <v>17</v>
      </c>
      <c r="B30" s="163" t="s">
        <v>503</v>
      </c>
      <c r="C30" s="163" t="s">
        <v>24</v>
      </c>
      <c r="D30" s="163" t="s">
        <v>316</v>
      </c>
      <c r="E30" s="169" t="s">
        <v>18</v>
      </c>
      <c r="F30" s="184">
        <v>58240</v>
      </c>
      <c r="G30" s="184">
        <v>58240</v>
      </c>
    </row>
    <row r="31" spans="1:8" s="266" customFormat="1" ht="62.4" customHeight="1" outlineLevel="7">
      <c r="A31" s="201" t="s">
        <v>857</v>
      </c>
      <c r="B31" s="197" t="s">
        <v>503</v>
      </c>
      <c r="C31" s="163" t="s">
        <v>24</v>
      </c>
      <c r="D31" s="197" t="s">
        <v>317</v>
      </c>
      <c r="E31" s="198" t="s">
        <v>6</v>
      </c>
      <c r="F31" s="209">
        <f t="shared" ref="F31:G34" si="7">F32</f>
        <v>477216</v>
      </c>
      <c r="G31" s="209">
        <f t="shared" si="7"/>
        <v>477216</v>
      </c>
      <c r="H31" s="265"/>
    </row>
    <row r="32" spans="1:8" ht="42.75" customHeight="1" outlineLevel="7">
      <c r="A32" s="203" t="s">
        <v>249</v>
      </c>
      <c r="B32" s="163" t="s">
        <v>503</v>
      </c>
      <c r="C32" s="163" t="s">
        <v>24</v>
      </c>
      <c r="D32" s="163" t="s">
        <v>318</v>
      </c>
      <c r="E32" s="169" t="s">
        <v>6</v>
      </c>
      <c r="F32" s="184">
        <f t="shared" si="7"/>
        <v>477216</v>
      </c>
      <c r="G32" s="184">
        <f t="shared" si="7"/>
        <v>477216</v>
      </c>
    </row>
    <row r="33" spans="1:8" ht="39.75" customHeight="1" outlineLevel="5">
      <c r="A33" s="164" t="s">
        <v>25</v>
      </c>
      <c r="B33" s="163" t="s">
        <v>503</v>
      </c>
      <c r="C33" s="163" t="s">
        <v>24</v>
      </c>
      <c r="D33" s="163" t="s">
        <v>329</v>
      </c>
      <c r="E33" s="169" t="s">
        <v>6</v>
      </c>
      <c r="F33" s="167">
        <f t="shared" si="7"/>
        <v>477216</v>
      </c>
      <c r="G33" s="167">
        <f t="shared" si="7"/>
        <v>477216</v>
      </c>
    </row>
    <row r="34" spans="1:8" ht="36" outlineLevel="6">
      <c r="A34" s="164" t="s">
        <v>15</v>
      </c>
      <c r="B34" s="163" t="s">
        <v>503</v>
      </c>
      <c r="C34" s="163" t="s">
        <v>24</v>
      </c>
      <c r="D34" s="163" t="s">
        <v>329</v>
      </c>
      <c r="E34" s="169" t="s">
        <v>16</v>
      </c>
      <c r="F34" s="167">
        <f t="shared" si="7"/>
        <v>477216</v>
      </c>
      <c r="G34" s="167">
        <f t="shared" si="7"/>
        <v>477216</v>
      </c>
    </row>
    <row r="35" spans="1:8" ht="21.15" customHeight="1" outlineLevel="7">
      <c r="A35" s="164" t="s">
        <v>17</v>
      </c>
      <c r="B35" s="163" t="s">
        <v>503</v>
      </c>
      <c r="C35" s="163" t="s">
        <v>24</v>
      </c>
      <c r="D35" s="163" t="s">
        <v>329</v>
      </c>
      <c r="E35" s="169" t="s">
        <v>18</v>
      </c>
      <c r="F35" s="167">
        <v>477216</v>
      </c>
      <c r="G35" s="167">
        <v>477216</v>
      </c>
    </row>
    <row r="36" spans="1:8" s="264" customFormat="1" ht="34.799999999999997">
      <c r="A36" s="191" t="s">
        <v>27</v>
      </c>
      <c r="B36" s="192" t="s">
        <v>504</v>
      </c>
      <c r="C36" s="192" t="s">
        <v>5</v>
      </c>
      <c r="D36" s="192" t="s">
        <v>126</v>
      </c>
      <c r="E36" s="193" t="s">
        <v>6</v>
      </c>
      <c r="F36" s="215">
        <f>F37+F157+F167+F223+F322+F338+F352+F388+F454+F430+F178</f>
        <v>296288031.78600001</v>
      </c>
      <c r="G36" s="215">
        <f>G37+G157+G167+G223+G322+G338+G352+G388+G454+G430+G178</f>
        <v>292407001.45700002</v>
      </c>
      <c r="H36" s="267"/>
    </row>
    <row r="37" spans="1:8" s="266" customFormat="1" outlineLevel="1">
      <c r="A37" s="196" t="s">
        <v>7</v>
      </c>
      <c r="B37" s="197" t="s">
        <v>504</v>
      </c>
      <c r="C37" s="197" t="s">
        <v>8</v>
      </c>
      <c r="D37" s="197" t="s">
        <v>126</v>
      </c>
      <c r="E37" s="198" t="s">
        <v>6</v>
      </c>
      <c r="F37" s="171">
        <f t="shared" ref="F37:G37" si="8">F38+F43+F50+F56+F66+F61</f>
        <v>98718175.969999999</v>
      </c>
      <c r="G37" s="171">
        <f t="shared" si="8"/>
        <v>101388157.06999999</v>
      </c>
      <c r="H37" s="265"/>
    </row>
    <row r="38" spans="1:8" ht="54" outlineLevel="2">
      <c r="A38" s="164" t="s">
        <v>28</v>
      </c>
      <c r="B38" s="163" t="s">
        <v>504</v>
      </c>
      <c r="C38" s="163" t="s">
        <v>29</v>
      </c>
      <c r="D38" s="163" t="s">
        <v>126</v>
      </c>
      <c r="E38" s="169" t="s">
        <v>6</v>
      </c>
      <c r="F38" s="167">
        <f t="shared" ref="F38:G41" si="9">F39</f>
        <v>2846266</v>
      </c>
      <c r="G38" s="167">
        <f t="shared" si="9"/>
        <v>2846266</v>
      </c>
    </row>
    <row r="39" spans="1:8" ht="36" outlineLevel="3">
      <c r="A39" s="164" t="s">
        <v>132</v>
      </c>
      <c r="B39" s="163" t="s">
        <v>504</v>
      </c>
      <c r="C39" s="163" t="s">
        <v>29</v>
      </c>
      <c r="D39" s="163" t="s">
        <v>127</v>
      </c>
      <c r="E39" s="169" t="s">
        <v>6</v>
      </c>
      <c r="F39" s="167">
        <f t="shared" si="9"/>
        <v>2846266</v>
      </c>
      <c r="G39" s="167">
        <f t="shared" si="9"/>
        <v>2846266</v>
      </c>
    </row>
    <row r="40" spans="1:8" outlineLevel="5">
      <c r="A40" s="164" t="s">
        <v>500</v>
      </c>
      <c r="B40" s="163" t="s">
        <v>504</v>
      </c>
      <c r="C40" s="163" t="s">
        <v>29</v>
      </c>
      <c r="D40" s="163" t="s">
        <v>501</v>
      </c>
      <c r="E40" s="169" t="s">
        <v>6</v>
      </c>
      <c r="F40" s="167">
        <f t="shared" si="9"/>
        <v>2846266</v>
      </c>
      <c r="G40" s="167">
        <f t="shared" si="9"/>
        <v>2846266</v>
      </c>
    </row>
    <row r="41" spans="1:8" ht="90" outlineLevel="6">
      <c r="A41" s="164" t="s">
        <v>11</v>
      </c>
      <c r="B41" s="163" t="s">
        <v>504</v>
      </c>
      <c r="C41" s="163" t="s">
        <v>29</v>
      </c>
      <c r="D41" s="163" t="s">
        <v>501</v>
      </c>
      <c r="E41" s="169" t="s">
        <v>12</v>
      </c>
      <c r="F41" s="167">
        <f t="shared" si="9"/>
        <v>2846266</v>
      </c>
      <c r="G41" s="167">
        <f t="shared" si="9"/>
        <v>2846266</v>
      </c>
    </row>
    <row r="42" spans="1:8" ht="36" outlineLevel="7">
      <c r="A42" s="164" t="s">
        <v>13</v>
      </c>
      <c r="B42" s="163" t="s">
        <v>504</v>
      </c>
      <c r="C42" s="163" t="s">
        <v>29</v>
      </c>
      <c r="D42" s="163" t="s">
        <v>501</v>
      </c>
      <c r="E42" s="169" t="s">
        <v>14</v>
      </c>
      <c r="F42" s="167">
        <v>2846266</v>
      </c>
      <c r="G42" s="167">
        <v>2846266</v>
      </c>
    </row>
    <row r="43" spans="1:8" ht="37.5" customHeight="1" outlineLevel="2">
      <c r="A43" s="164" t="s">
        <v>30</v>
      </c>
      <c r="B43" s="163" t="s">
        <v>504</v>
      </c>
      <c r="C43" s="163" t="s">
        <v>31</v>
      </c>
      <c r="D43" s="163" t="s">
        <v>126</v>
      </c>
      <c r="E43" s="169" t="s">
        <v>6</v>
      </c>
      <c r="F43" s="167">
        <f t="shared" ref="F43:G44" si="10">F44</f>
        <v>22524109.440000001</v>
      </c>
      <c r="G43" s="167">
        <f t="shared" si="10"/>
        <v>23421393.82</v>
      </c>
    </row>
    <row r="44" spans="1:8" ht="36" outlineLevel="3">
      <c r="A44" s="164" t="s">
        <v>132</v>
      </c>
      <c r="B44" s="163" t="s">
        <v>504</v>
      </c>
      <c r="C44" s="163" t="s">
        <v>31</v>
      </c>
      <c r="D44" s="163" t="s">
        <v>127</v>
      </c>
      <c r="E44" s="169" t="s">
        <v>6</v>
      </c>
      <c r="F44" s="167">
        <f t="shared" si="10"/>
        <v>22524109.440000001</v>
      </c>
      <c r="G44" s="167">
        <f t="shared" si="10"/>
        <v>23421393.82</v>
      </c>
    </row>
    <row r="45" spans="1:8" ht="54" outlineLevel="5">
      <c r="A45" s="164" t="s">
        <v>498</v>
      </c>
      <c r="B45" s="163" t="s">
        <v>504</v>
      </c>
      <c r="C45" s="163" t="s">
        <v>31</v>
      </c>
      <c r="D45" s="163" t="s">
        <v>499</v>
      </c>
      <c r="E45" s="169" t="s">
        <v>6</v>
      </c>
      <c r="F45" s="167">
        <f t="shared" ref="F45:G45" si="11">F46+F48</f>
        <v>22524109.440000001</v>
      </c>
      <c r="G45" s="167">
        <f t="shared" si="11"/>
        <v>23421393.82</v>
      </c>
    </row>
    <row r="46" spans="1:8" ht="90" outlineLevel="6">
      <c r="A46" s="164" t="s">
        <v>11</v>
      </c>
      <c r="B46" s="163" t="s">
        <v>504</v>
      </c>
      <c r="C46" s="163" t="s">
        <v>31</v>
      </c>
      <c r="D46" s="163" t="s">
        <v>499</v>
      </c>
      <c r="E46" s="169" t="s">
        <v>12</v>
      </c>
      <c r="F46" s="167">
        <f t="shared" ref="F46:G46" si="12">F47</f>
        <v>22432109.440000001</v>
      </c>
      <c r="G46" s="167">
        <f t="shared" si="12"/>
        <v>23329393.82</v>
      </c>
    </row>
    <row r="47" spans="1:8" ht="36" outlineLevel="7">
      <c r="A47" s="164" t="s">
        <v>13</v>
      </c>
      <c r="B47" s="163" t="s">
        <v>504</v>
      </c>
      <c r="C47" s="163" t="s">
        <v>31</v>
      </c>
      <c r="D47" s="163" t="s">
        <v>499</v>
      </c>
      <c r="E47" s="169" t="s">
        <v>14</v>
      </c>
      <c r="F47" s="218">
        <v>22432109.440000001</v>
      </c>
      <c r="G47" s="218">
        <v>23329393.82</v>
      </c>
    </row>
    <row r="48" spans="1:8" ht="36" outlineLevel="6">
      <c r="A48" s="164" t="s">
        <v>15</v>
      </c>
      <c r="B48" s="163" t="s">
        <v>504</v>
      </c>
      <c r="C48" s="163" t="s">
        <v>31</v>
      </c>
      <c r="D48" s="163" t="s">
        <v>499</v>
      </c>
      <c r="E48" s="169" t="s">
        <v>16</v>
      </c>
      <c r="F48" s="167">
        <f t="shared" ref="F48:G48" si="13">F49</f>
        <v>92000</v>
      </c>
      <c r="G48" s="167">
        <f t="shared" si="13"/>
        <v>92000</v>
      </c>
    </row>
    <row r="49" spans="1:7" ht="21.15" customHeight="1" outlineLevel="7">
      <c r="A49" s="164" t="s">
        <v>17</v>
      </c>
      <c r="B49" s="163" t="s">
        <v>504</v>
      </c>
      <c r="C49" s="163" t="s">
        <v>31</v>
      </c>
      <c r="D49" s="163" t="s">
        <v>499</v>
      </c>
      <c r="E49" s="169" t="s">
        <v>18</v>
      </c>
      <c r="F49" s="218">
        <v>92000</v>
      </c>
      <c r="G49" s="218">
        <v>92000</v>
      </c>
    </row>
    <row r="50" spans="1:7" outlineLevel="7">
      <c r="A50" s="164" t="s">
        <v>260</v>
      </c>
      <c r="B50" s="163" t="s">
        <v>504</v>
      </c>
      <c r="C50" s="163" t="s">
        <v>261</v>
      </c>
      <c r="D50" s="163" t="s">
        <v>126</v>
      </c>
      <c r="E50" s="169" t="s">
        <v>6</v>
      </c>
      <c r="F50" s="184">
        <f t="shared" ref="F50:G50" si="14">F51</f>
        <v>13010</v>
      </c>
      <c r="G50" s="184">
        <f t="shared" si="14"/>
        <v>11564</v>
      </c>
    </row>
    <row r="51" spans="1:7" ht="36" outlineLevel="7">
      <c r="A51" s="164" t="s">
        <v>132</v>
      </c>
      <c r="B51" s="163" t="s">
        <v>504</v>
      </c>
      <c r="C51" s="163" t="s">
        <v>261</v>
      </c>
      <c r="D51" s="163" t="s">
        <v>127</v>
      </c>
      <c r="E51" s="169" t="s">
        <v>6</v>
      </c>
      <c r="F51" s="184">
        <f t="shared" ref="F51:G51" si="15">F53</f>
        <v>13010</v>
      </c>
      <c r="G51" s="184">
        <f t="shared" si="15"/>
        <v>11564</v>
      </c>
    </row>
    <row r="52" spans="1:7" outlineLevel="7">
      <c r="A52" s="164" t="s">
        <v>277</v>
      </c>
      <c r="B52" s="163" t="s">
        <v>504</v>
      </c>
      <c r="C52" s="163" t="s">
        <v>261</v>
      </c>
      <c r="D52" s="163" t="s">
        <v>276</v>
      </c>
      <c r="E52" s="169" t="s">
        <v>6</v>
      </c>
      <c r="F52" s="184">
        <f t="shared" ref="F52:G54" si="16">F53</f>
        <v>13010</v>
      </c>
      <c r="G52" s="184">
        <f t="shared" si="16"/>
        <v>11564</v>
      </c>
    </row>
    <row r="53" spans="1:7" ht="95.25" customHeight="1" outlineLevel="7">
      <c r="A53" s="164" t="s">
        <v>410</v>
      </c>
      <c r="B53" s="163" t="s">
        <v>504</v>
      </c>
      <c r="C53" s="163" t="s">
        <v>261</v>
      </c>
      <c r="D53" s="163" t="s">
        <v>285</v>
      </c>
      <c r="E53" s="169" t="s">
        <v>6</v>
      </c>
      <c r="F53" s="184">
        <f t="shared" si="16"/>
        <v>13010</v>
      </c>
      <c r="G53" s="184">
        <f t="shared" si="16"/>
        <v>11564</v>
      </c>
    </row>
    <row r="54" spans="1:7" ht="36" outlineLevel="7">
      <c r="A54" s="164" t="s">
        <v>15</v>
      </c>
      <c r="B54" s="163" t="s">
        <v>504</v>
      </c>
      <c r="C54" s="163" t="s">
        <v>261</v>
      </c>
      <c r="D54" s="163" t="s">
        <v>285</v>
      </c>
      <c r="E54" s="169" t="s">
        <v>16</v>
      </c>
      <c r="F54" s="184">
        <f t="shared" si="16"/>
        <v>13010</v>
      </c>
      <c r="G54" s="184">
        <f t="shared" si="16"/>
        <v>11564</v>
      </c>
    </row>
    <row r="55" spans="1:7" ht="19.5" customHeight="1" outlineLevel="7">
      <c r="A55" s="164" t="s">
        <v>17</v>
      </c>
      <c r="B55" s="163" t="s">
        <v>504</v>
      </c>
      <c r="C55" s="163" t="s">
        <v>261</v>
      </c>
      <c r="D55" s="163" t="s">
        <v>285</v>
      </c>
      <c r="E55" s="169" t="s">
        <v>18</v>
      </c>
      <c r="F55" s="167">
        <v>13010</v>
      </c>
      <c r="G55" s="167">
        <v>11564</v>
      </c>
    </row>
    <row r="56" spans="1:7" ht="36.75" customHeight="1" outlineLevel="2">
      <c r="A56" s="164" t="s">
        <v>9</v>
      </c>
      <c r="B56" s="163" t="s">
        <v>504</v>
      </c>
      <c r="C56" s="163" t="s">
        <v>10</v>
      </c>
      <c r="D56" s="163" t="s">
        <v>126</v>
      </c>
      <c r="E56" s="169" t="s">
        <v>6</v>
      </c>
      <c r="F56" s="167">
        <f t="shared" ref="F56:G59" si="17">F57</f>
        <v>825175</v>
      </c>
      <c r="G56" s="167">
        <f t="shared" si="17"/>
        <v>858182</v>
      </c>
    </row>
    <row r="57" spans="1:7" ht="36" outlineLevel="4">
      <c r="A57" s="164" t="s">
        <v>132</v>
      </c>
      <c r="B57" s="163" t="s">
        <v>504</v>
      </c>
      <c r="C57" s="163" t="s">
        <v>10</v>
      </c>
      <c r="D57" s="163" t="s">
        <v>127</v>
      </c>
      <c r="E57" s="169" t="s">
        <v>6</v>
      </c>
      <c r="F57" s="167">
        <f t="shared" si="17"/>
        <v>825175</v>
      </c>
      <c r="G57" s="167">
        <f t="shared" si="17"/>
        <v>858182</v>
      </c>
    </row>
    <row r="58" spans="1:7" ht="36" outlineLevel="5">
      <c r="A58" s="164" t="s">
        <v>502</v>
      </c>
      <c r="B58" s="163" t="s">
        <v>504</v>
      </c>
      <c r="C58" s="163" t="s">
        <v>10</v>
      </c>
      <c r="D58" s="163" t="s">
        <v>541</v>
      </c>
      <c r="E58" s="169" t="s">
        <v>6</v>
      </c>
      <c r="F58" s="167">
        <f t="shared" si="17"/>
        <v>825175</v>
      </c>
      <c r="G58" s="167">
        <f t="shared" si="17"/>
        <v>858182</v>
      </c>
    </row>
    <row r="59" spans="1:7" ht="90" outlineLevel="6">
      <c r="A59" s="164" t="s">
        <v>11</v>
      </c>
      <c r="B59" s="163" t="s">
        <v>504</v>
      </c>
      <c r="C59" s="163" t="s">
        <v>10</v>
      </c>
      <c r="D59" s="163" t="s">
        <v>541</v>
      </c>
      <c r="E59" s="169" t="s">
        <v>12</v>
      </c>
      <c r="F59" s="167">
        <f t="shared" si="17"/>
        <v>825175</v>
      </c>
      <c r="G59" s="167">
        <f t="shared" si="17"/>
        <v>858182</v>
      </c>
    </row>
    <row r="60" spans="1:7" ht="31.65" customHeight="1" outlineLevel="7">
      <c r="A60" s="164" t="s">
        <v>13</v>
      </c>
      <c r="B60" s="163" t="s">
        <v>504</v>
      </c>
      <c r="C60" s="163" t="s">
        <v>10</v>
      </c>
      <c r="D60" s="163" t="s">
        <v>541</v>
      </c>
      <c r="E60" s="169" t="s">
        <v>14</v>
      </c>
      <c r="F60" s="167">
        <v>825175</v>
      </c>
      <c r="G60" s="167">
        <v>858182</v>
      </c>
    </row>
    <row r="61" spans="1:7" hidden="1" outlineLevel="7">
      <c r="A61" s="164" t="s">
        <v>709</v>
      </c>
      <c r="B61" s="163" t="s">
        <v>504</v>
      </c>
      <c r="C61" s="163" t="s">
        <v>706</v>
      </c>
      <c r="D61" s="163" t="s">
        <v>126</v>
      </c>
      <c r="E61" s="163" t="s">
        <v>6</v>
      </c>
      <c r="F61" s="167">
        <f t="shared" ref="F61:G64" si="18">F62</f>
        <v>0</v>
      </c>
      <c r="G61" s="167">
        <f t="shared" si="18"/>
        <v>0</v>
      </c>
    </row>
    <row r="62" spans="1:7" ht="36" hidden="1" outlineLevel="7">
      <c r="A62" s="164" t="s">
        <v>132</v>
      </c>
      <c r="B62" s="163" t="s">
        <v>504</v>
      </c>
      <c r="C62" s="163" t="s">
        <v>706</v>
      </c>
      <c r="D62" s="163" t="s">
        <v>127</v>
      </c>
      <c r="E62" s="163" t="s">
        <v>6</v>
      </c>
      <c r="F62" s="167">
        <f t="shared" si="18"/>
        <v>0</v>
      </c>
      <c r="G62" s="167">
        <f t="shared" si="18"/>
        <v>0</v>
      </c>
    </row>
    <row r="63" spans="1:7" ht="36" hidden="1" outlineLevel="7">
      <c r="A63" s="164" t="s">
        <v>708</v>
      </c>
      <c r="B63" s="163" t="s">
        <v>504</v>
      </c>
      <c r="C63" s="163" t="s">
        <v>706</v>
      </c>
      <c r="D63" s="163" t="s">
        <v>543</v>
      </c>
      <c r="E63" s="163" t="s">
        <v>6</v>
      </c>
      <c r="F63" s="167">
        <f t="shared" si="18"/>
        <v>0</v>
      </c>
      <c r="G63" s="167">
        <f t="shared" si="18"/>
        <v>0</v>
      </c>
    </row>
    <row r="64" spans="1:7" hidden="1" outlineLevel="7">
      <c r="A64" s="164" t="s">
        <v>19</v>
      </c>
      <c r="B64" s="163" t="s">
        <v>504</v>
      </c>
      <c r="C64" s="163" t="s">
        <v>706</v>
      </c>
      <c r="D64" s="163" t="s">
        <v>543</v>
      </c>
      <c r="E64" s="163" t="s">
        <v>20</v>
      </c>
      <c r="F64" s="167">
        <f t="shared" si="18"/>
        <v>0</v>
      </c>
      <c r="G64" s="167">
        <f t="shared" si="18"/>
        <v>0</v>
      </c>
    </row>
    <row r="65" spans="1:8" hidden="1" outlineLevel="7">
      <c r="A65" s="164" t="s">
        <v>707</v>
      </c>
      <c r="B65" s="163" t="s">
        <v>504</v>
      </c>
      <c r="C65" s="163" t="s">
        <v>706</v>
      </c>
      <c r="D65" s="163" t="s">
        <v>543</v>
      </c>
      <c r="E65" s="163" t="s">
        <v>705</v>
      </c>
      <c r="F65" s="167"/>
      <c r="G65" s="167"/>
    </row>
    <row r="66" spans="1:8" outlineLevel="2" collapsed="1">
      <c r="A66" s="164" t="s">
        <v>23</v>
      </c>
      <c r="B66" s="163" t="s">
        <v>504</v>
      </c>
      <c r="C66" s="163" t="s">
        <v>24</v>
      </c>
      <c r="D66" s="163" t="s">
        <v>126</v>
      </c>
      <c r="E66" s="169" t="s">
        <v>6</v>
      </c>
      <c r="F66" s="167">
        <f>F67+F90+F103+F95+F110</f>
        <v>72509615.530000001</v>
      </c>
      <c r="G66" s="167">
        <f>G67+G90+G103+G95+G110</f>
        <v>74250751.25</v>
      </c>
    </row>
    <row r="67" spans="1:8" s="266" customFormat="1" ht="59.25" customHeight="1" outlineLevel="3">
      <c r="A67" s="196" t="s">
        <v>882</v>
      </c>
      <c r="B67" s="197" t="s">
        <v>504</v>
      </c>
      <c r="C67" s="197" t="s">
        <v>24</v>
      </c>
      <c r="D67" s="197" t="s">
        <v>128</v>
      </c>
      <c r="E67" s="198" t="s">
        <v>6</v>
      </c>
      <c r="F67" s="171">
        <f t="shared" ref="F67:G67" si="19">F68+F75+F83</f>
        <v>25030881.030000001</v>
      </c>
      <c r="G67" s="171">
        <f t="shared" si="19"/>
        <v>25154303.800000001</v>
      </c>
      <c r="H67" s="265"/>
    </row>
    <row r="68" spans="1:8" ht="57.15" customHeight="1" outlineLevel="7">
      <c r="A68" s="164" t="s">
        <v>863</v>
      </c>
      <c r="B68" s="163" t="s">
        <v>504</v>
      </c>
      <c r="C68" s="163" t="s">
        <v>24</v>
      </c>
      <c r="D68" s="163" t="s">
        <v>315</v>
      </c>
      <c r="E68" s="169" t="s">
        <v>6</v>
      </c>
      <c r="F68" s="184">
        <f t="shared" ref="F68:G68" si="20">F69+F72</f>
        <v>795385</v>
      </c>
      <c r="G68" s="184">
        <f t="shared" si="20"/>
        <v>795385</v>
      </c>
    </row>
    <row r="69" spans="1:8" outlineLevel="7">
      <c r="A69" s="164" t="s">
        <v>321</v>
      </c>
      <c r="B69" s="163" t="s">
        <v>504</v>
      </c>
      <c r="C69" s="163" t="s">
        <v>24</v>
      </c>
      <c r="D69" s="163" t="s">
        <v>316</v>
      </c>
      <c r="E69" s="169" t="s">
        <v>6</v>
      </c>
      <c r="F69" s="184">
        <f t="shared" ref="F69:G70" si="21">F70</f>
        <v>745385</v>
      </c>
      <c r="G69" s="184">
        <f t="shared" si="21"/>
        <v>745385</v>
      </c>
    </row>
    <row r="70" spans="1:8" ht="36" outlineLevel="7">
      <c r="A70" s="164" t="s">
        <v>15</v>
      </c>
      <c r="B70" s="163" t="s">
        <v>504</v>
      </c>
      <c r="C70" s="163" t="s">
        <v>24</v>
      </c>
      <c r="D70" s="163" t="s">
        <v>316</v>
      </c>
      <c r="E70" s="169" t="s">
        <v>16</v>
      </c>
      <c r="F70" s="167">
        <f t="shared" si="21"/>
        <v>745385</v>
      </c>
      <c r="G70" s="167">
        <f t="shared" si="21"/>
        <v>745385</v>
      </c>
    </row>
    <row r="71" spans="1:8" ht="21.15" customHeight="1" outlineLevel="7">
      <c r="A71" s="164" t="s">
        <v>17</v>
      </c>
      <c r="B71" s="163" t="s">
        <v>504</v>
      </c>
      <c r="C71" s="163" t="s">
        <v>24</v>
      </c>
      <c r="D71" s="163" t="s">
        <v>316</v>
      </c>
      <c r="E71" s="169" t="s">
        <v>18</v>
      </c>
      <c r="F71" s="184">
        <v>745385</v>
      </c>
      <c r="G71" s="184">
        <v>745385</v>
      </c>
    </row>
    <row r="72" spans="1:8" outlineLevel="7">
      <c r="A72" s="164" t="s">
        <v>322</v>
      </c>
      <c r="B72" s="163" t="s">
        <v>504</v>
      </c>
      <c r="C72" s="163" t="s">
        <v>24</v>
      </c>
      <c r="D72" s="163" t="s">
        <v>323</v>
      </c>
      <c r="E72" s="169" t="s">
        <v>6</v>
      </c>
      <c r="F72" s="184">
        <f t="shared" ref="F72:G73" si="22">F73</f>
        <v>50000</v>
      </c>
      <c r="G72" s="184">
        <f t="shared" si="22"/>
        <v>50000</v>
      </c>
    </row>
    <row r="73" spans="1:8" ht="36" outlineLevel="7">
      <c r="A73" s="164" t="s">
        <v>15</v>
      </c>
      <c r="B73" s="163" t="s">
        <v>504</v>
      </c>
      <c r="C73" s="163" t="s">
        <v>24</v>
      </c>
      <c r="D73" s="163" t="s">
        <v>323</v>
      </c>
      <c r="E73" s="169" t="s">
        <v>16</v>
      </c>
      <c r="F73" s="167">
        <f t="shared" si="22"/>
        <v>50000</v>
      </c>
      <c r="G73" s="167">
        <f t="shared" si="22"/>
        <v>50000</v>
      </c>
    </row>
    <row r="74" spans="1:8" ht="19.5" customHeight="1" outlineLevel="7">
      <c r="A74" s="164" t="s">
        <v>17</v>
      </c>
      <c r="B74" s="163" t="s">
        <v>504</v>
      </c>
      <c r="C74" s="163" t="s">
        <v>24</v>
      </c>
      <c r="D74" s="163" t="s">
        <v>323</v>
      </c>
      <c r="E74" s="169" t="s">
        <v>18</v>
      </c>
      <c r="F74" s="167">
        <v>50000</v>
      </c>
      <c r="G74" s="167">
        <v>50000</v>
      </c>
    </row>
    <row r="75" spans="1:8" ht="46.5" customHeight="1" outlineLevel="7">
      <c r="A75" s="164" t="s">
        <v>216</v>
      </c>
      <c r="B75" s="163" t="s">
        <v>504</v>
      </c>
      <c r="C75" s="163" t="s">
        <v>24</v>
      </c>
      <c r="D75" s="163" t="s">
        <v>231</v>
      </c>
      <c r="E75" s="169" t="s">
        <v>6</v>
      </c>
      <c r="F75" s="184">
        <f t="shared" ref="F75:G75" si="23">F76</f>
        <v>22135496.030000001</v>
      </c>
      <c r="G75" s="184">
        <f t="shared" si="23"/>
        <v>22258918.800000001</v>
      </c>
    </row>
    <row r="76" spans="1:8" ht="36" outlineLevel="5">
      <c r="A76" s="164" t="s">
        <v>33</v>
      </c>
      <c r="B76" s="163" t="s">
        <v>504</v>
      </c>
      <c r="C76" s="163" t="s">
        <v>24</v>
      </c>
      <c r="D76" s="163" t="s">
        <v>130</v>
      </c>
      <c r="E76" s="169" t="s">
        <v>6</v>
      </c>
      <c r="F76" s="167">
        <f>F77+F79+F81</f>
        <v>22135496.030000001</v>
      </c>
      <c r="G76" s="167">
        <f>G77+G79+G81</f>
        <v>22258918.800000001</v>
      </c>
    </row>
    <row r="77" spans="1:8" ht="90" outlineLevel="6">
      <c r="A77" s="164" t="s">
        <v>11</v>
      </c>
      <c r="B77" s="163" t="s">
        <v>504</v>
      </c>
      <c r="C77" s="163" t="s">
        <v>24</v>
      </c>
      <c r="D77" s="163" t="s">
        <v>130</v>
      </c>
      <c r="E77" s="169" t="s">
        <v>12</v>
      </c>
      <c r="F77" s="167">
        <f t="shared" ref="F77:G77" si="24">F78</f>
        <v>11334046.030000001</v>
      </c>
      <c r="G77" s="167">
        <f t="shared" si="24"/>
        <v>11457468.800000001</v>
      </c>
    </row>
    <row r="78" spans="1:8" outlineLevel="7">
      <c r="A78" s="164" t="s">
        <v>34</v>
      </c>
      <c r="B78" s="163" t="s">
        <v>504</v>
      </c>
      <c r="C78" s="163" t="s">
        <v>24</v>
      </c>
      <c r="D78" s="163" t="s">
        <v>130</v>
      </c>
      <c r="E78" s="169" t="s">
        <v>35</v>
      </c>
      <c r="F78" s="184">
        <f>11370694-13094.03+129.24-23683.18</f>
        <v>11334046.030000001</v>
      </c>
      <c r="G78" s="184">
        <f>11370694+110457.98-23683.18</f>
        <v>11457468.800000001</v>
      </c>
    </row>
    <row r="79" spans="1:8" ht="36" outlineLevel="6">
      <c r="A79" s="164" t="s">
        <v>15</v>
      </c>
      <c r="B79" s="163" t="s">
        <v>504</v>
      </c>
      <c r="C79" s="163" t="s">
        <v>24</v>
      </c>
      <c r="D79" s="163" t="s">
        <v>130</v>
      </c>
      <c r="E79" s="169" t="s">
        <v>16</v>
      </c>
      <c r="F79" s="167">
        <f t="shared" ref="F79:G79" si="25">F80</f>
        <v>10000000</v>
      </c>
      <c r="G79" s="167">
        <f t="shared" si="25"/>
        <v>10000000</v>
      </c>
    </row>
    <row r="80" spans="1:8" ht="21.15" customHeight="1" outlineLevel="7">
      <c r="A80" s="164" t="s">
        <v>17</v>
      </c>
      <c r="B80" s="163" t="s">
        <v>504</v>
      </c>
      <c r="C80" s="163" t="s">
        <v>24</v>
      </c>
      <c r="D80" s="163" t="s">
        <v>130</v>
      </c>
      <c r="E80" s="169" t="s">
        <v>18</v>
      </c>
      <c r="F80" s="184">
        <v>10000000</v>
      </c>
      <c r="G80" s="184">
        <v>10000000</v>
      </c>
    </row>
    <row r="81" spans="1:8" outlineLevel="6">
      <c r="A81" s="164" t="s">
        <v>19</v>
      </c>
      <c r="B81" s="163" t="s">
        <v>504</v>
      </c>
      <c r="C81" s="163" t="s">
        <v>24</v>
      </c>
      <c r="D81" s="163" t="s">
        <v>130</v>
      </c>
      <c r="E81" s="169" t="s">
        <v>20</v>
      </c>
      <c r="F81" s="167">
        <f t="shared" ref="F81:G81" si="26">F82</f>
        <v>801450</v>
      </c>
      <c r="G81" s="167">
        <f t="shared" si="26"/>
        <v>801450</v>
      </c>
    </row>
    <row r="82" spans="1:8" outlineLevel="7">
      <c r="A82" s="164" t="s">
        <v>21</v>
      </c>
      <c r="B82" s="163" t="s">
        <v>504</v>
      </c>
      <c r="C82" s="163" t="s">
        <v>24</v>
      </c>
      <c r="D82" s="163" t="s">
        <v>130</v>
      </c>
      <c r="E82" s="169" t="s">
        <v>22</v>
      </c>
      <c r="F82" s="218">
        <v>801450</v>
      </c>
      <c r="G82" s="218">
        <v>801450</v>
      </c>
    </row>
    <row r="83" spans="1:8" outlineLevel="7">
      <c r="A83" s="164" t="s">
        <v>762</v>
      </c>
      <c r="B83" s="163" t="s">
        <v>504</v>
      </c>
      <c r="C83" s="163" t="s">
        <v>24</v>
      </c>
      <c r="D83" s="163" t="s">
        <v>703</v>
      </c>
      <c r="E83" s="163" t="s">
        <v>6</v>
      </c>
      <c r="F83" s="167">
        <f t="shared" ref="F83:G83" si="27">F84+F87</f>
        <v>2100000</v>
      </c>
      <c r="G83" s="167">
        <f t="shared" si="27"/>
        <v>2100000</v>
      </c>
    </row>
    <row r="84" spans="1:8" ht="36" outlineLevel="7">
      <c r="A84" s="33" t="s">
        <v>731</v>
      </c>
      <c r="B84" s="163" t="s">
        <v>504</v>
      </c>
      <c r="C84" s="163" t="s">
        <v>24</v>
      </c>
      <c r="D84" s="163" t="s">
        <v>702</v>
      </c>
      <c r="E84" s="163" t="s">
        <v>6</v>
      </c>
      <c r="F84" s="167">
        <f t="shared" ref="F84:G85" si="28">F85</f>
        <v>500000</v>
      </c>
      <c r="G84" s="167">
        <f t="shared" si="28"/>
        <v>500000</v>
      </c>
    </row>
    <row r="85" spans="1:8" ht="36" outlineLevel="7">
      <c r="A85" s="164" t="s">
        <v>15</v>
      </c>
      <c r="B85" s="163" t="s">
        <v>504</v>
      </c>
      <c r="C85" s="163" t="s">
        <v>24</v>
      </c>
      <c r="D85" s="163" t="s">
        <v>702</v>
      </c>
      <c r="E85" s="163" t="s">
        <v>16</v>
      </c>
      <c r="F85" s="167">
        <f t="shared" si="28"/>
        <v>500000</v>
      </c>
      <c r="G85" s="167">
        <f t="shared" si="28"/>
        <v>500000</v>
      </c>
    </row>
    <row r="86" spans="1:8" ht="36" outlineLevel="7">
      <c r="A86" s="164" t="s">
        <v>17</v>
      </c>
      <c r="B86" s="163" t="s">
        <v>504</v>
      </c>
      <c r="C86" s="163" t="s">
        <v>24</v>
      </c>
      <c r="D86" s="163" t="s">
        <v>702</v>
      </c>
      <c r="E86" s="163" t="s">
        <v>18</v>
      </c>
      <c r="F86" s="218">
        <v>500000</v>
      </c>
      <c r="G86" s="218">
        <v>500000</v>
      </c>
    </row>
    <row r="87" spans="1:8" ht="36" outlineLevel="7">
      <c r="A87" s="164" t="s">
        <v>701</v>
      </c>
      <c r="B87" s="163" t="s">
        <v>504</v>
      </c>
      <c r="C87" s="163" t="s">
        <v>24</v>
      </c>
      <c r="D87" s="163" t="s">
        <v>700</v>
      </c>
      <c r="E87" s="163" t="s">
        <v>6</v>
      </c>
      <c r="F87" s="167">
        <f t="shared" ref="F87:G88" si="29">F88</f>
        <v>1600000</v>
      </c>
      <c r="G87" s="167">
        <f t="shared" si="29"/>
        <v>1600000</v>
      </c>
    </row>
    <row r="88" spans="1:8" ht="36" outlineLevel="7">
      <c r="A88" s="164" t="s">
        <v>15</v>
      </c>
      <c r="B88" s="163" t="s">
        <v>504</v>
      </c>
      <c r="C88" s="163" t="s">
        <v>24</v>
      </c>
      <c r="D88" s="163" t="s">
        <v>700</v>
      </c>
      <c r="E88" s="163" t="s">
        <v>16</v>
      </c>
      <c r="F88" s="167">
        <f t="shared" si="29"/>
        <v>1600000</v>
      </c>
      <c r="G88" s="167">
        <f t="shared" si="29"/>
        <v>1600000</v>
      </c>
    </row>
    <row r="89" spans="1:8" ht="36" outlineLevel="7">
      <c r="A89" s="164" t="s">
        <v>17</v>
      </c>
      <c r="B89" s="163" t="s">
        <v>504</v>
      </c>
      <c r="C89" s="163" t="s">
        <v>24</v>
      </c>
      <c r="D89" s="163" t="s">
        <v>700</v>
      </c>
      <c r="E89" s="163" t="s">
        <v>18</v>
      </c>
      <c r="F89" s="218">
        <v>1600000</v>
      </c>
      <c r="G89" s="218">
        <v>1600000</v>
      </c>
    </row>
    <row r="90" spans="1:8" s="266" customFormat="1" ht="54" outlineLevel="7">
      <c r="A90" s="196" t="s">
        <v>881</v>
      </c>
      <c r="B90" s="197" t="s">
        <v>504</v>
      </c>
      <c r="C90" s="197" t="s">
        <v>24</v>
      </c>
      <c r="D90" s="197" t="s">
        <v>131</v>
      </c>
      <c r="E90" s="198" t="s">
        <v>6</v>
      </c>
      <c r="F90" s="171">
        <f t="shared" ref="F90:G93" si="30">F91</f>
        <v>50000</v>
      </c>
      <c r="G90" s="171">
        <f t="shared" si="30"/>
        <v>50000</v>
      </c>
      <c r="H90" s="265"/>
    </row>
    <row r="91" spans="1:8" outlineLevel="7">
      <c r="A91" s="164" t="s">
        <v>324</v>
      </c>
      <c r="B91" s="163" t="s">
        <v>504</v>
      </c>
      <c r="C91" s="163" t="s">
        <v>24</v>
      </c>
      <c r="D91" s="163" t="s">
        <v>233</v>
      </c>
      <c r="E91" s="169" t="s">
        <v>6</v>
      </c>
      <c r="F91" s="167">
        <f t="shared" si="30"/>
        <v>50000</v>
      </c>
      <c r="G91" s="167">
        <f t="shared" si="30"/>
        <v>50000</v>
      </c>
    </row>
    <row r="92" spans="1:8" ht="36" outlineLevel="7">
      <c r="A92" s="164" t="s">
        <v>325</v>
      </c>
      <c r="B92" s="163" t="s">
        <v>504</v>
      </c>
      <c r="C92" s="163" t="s">
        <v>24</v>
      </c>
      <c r="D92" s="163" t="s">
        <v>326</v>
      </c>
      <c r="E92" s="169" t="s">
        <v>6</v>
      </c>
      <c r="F92" s="167">
        <f t="shared" si="30"/>
        <v>50000</v>
      </c>
      <c r="G92" s="167">
        <f t="shared" si="30"/>
        <v>50000</v>
      </c>
    </row>
    <row r="93" spans="1:8" ht="36" outlineLevel="7">
      <c r="A93" s="164" t="s">
        <v>15</v>
      </c>
      <c r="B93" s="163" t="s">
        <v>504</v>
      </c>
      <c r="C93" s="163" t="s">
        <v>24</v>
      </c>
      <c r="D93" s="163" t="s">
        <v>326</v>
      </c>
      <c r="E93" s="169" t="s">
        <v>16</v>
      </c>
      <c r="F93" s="167">
        <f t="shared" si="30"/>
        <v>50000</v>
      </c>
      <c r="G93" s="167">
        <f t="shared" si="30"/>
        <v>50000</v>
      </c>
    </row>
    <row r="94" spans="1:8" ht="21.15" customHeight="1" outlineLevel="7">
      <c r="A94" s="164" t="s">
        <v>17</v>
      </c>
      <c r="B94" s="163" t="s">
        <v>504</v>
      </c>
      <c r="C94" s="163" t="s">
        <v>24</v>
      </c>
      <c r="D94" s="163" t="s">
        <v>326</v>
      </c>
      <c r="E94" s="169" t="s">
        <v>18</v>
      </c>
      <c r="F94" s="184">
        <v>50000</v>
      </c>
      <c r="G94" s="184">
        <v>50000</v>
      </c>
    </row>
    <row r="95" spans="1:8" s="266" customFormat="1" ht="59.25" customHeight="1" outlineLevel="7">
      <c r="A95" s="196" t="s">
        <v>857</v>
      </c>
      <c r="B95" s="197" t="s">
        <v>504</v>
      </c>
      <c r="C95" s="197" t="s">
        <v>24</v>
      </c>
      <c r="D95" s="197" t="s">
        <v>317</v>
      </c>
      <c r="E95" s="198" t="s">
        <v>6</v>
      </c>
      <c r="F95" s="171">
        <f>F96</f>
        <v>1544157.5</v>
      </c>
      <c r="G95" s="171">
        <f>G96</f>
        <v>1544157.5</v>
      </c>
      <c r="H95" s="265"/>
    </row>
    <row r="96" spans="1:8" ht="42.75" customHeight="1" outlineLevel="7">
      <c r="A96" s="200" t="s">
        <v>327</v>
      </c>
      <c r="B96" s="163" t="s">
        <v>504</v>
      </c>
      <c r="C96" s="163" t="s">
        <v>24</v>
      </c>
      <c r="D96" s="163" t="s">
        <v>318</v>
      </c>
      <c r="E96" s="169" t="s">
        <v>6</v>
      </c>
      <c r="F96" s="167">
        <f>F97+F100</f>
        <v>1544157.5</v>
      </c>
      <c r="G96" s="167">
        <f>G97+G100</f>
        <v>1544157.5</v>
      </c>
    </row>
    <row r="97" spans="1:8" ht="37.5" customHeight="1" outlineLevel="7">
      <c r="A97" s="200" t="s">
        <v>328</v>
      </c>
      <c r="B97" s="163" t="s">
        <v>504</v>
      </c>
      <c r="C97" s="163" t="s">
        <v>24</v>
      </c>
      <c r="D97" s="163" t="s">
        <v>329</v>
      </c>
      <c r="E97" s="169" t="s">
        <v>6</v>
      </c>
      <c r="F97" s="167">
        <f t="shared" ref="F97:G98" si="31">F98</f>
        <v>1500000</v>
      </c>
      <c r="G97" s="167">
        <f t="shared" si="31"/>
        <v>1500000</v>
      </c>
    </row>
    <row r="98" spans="1:8" ht="36" outlineLevel="7">
      <c r="A98" s="164" t="s">
        <v>15</v>
      </c>
      <c r="B98" s="163" t="s">
        <v>504</v>
      </c>
      <c r="C98" s="163" t="s">
        <v>24</v>
      </c>
      <c r="D98" s="163" t="s">
        <v>329</v>
      </c>
      <c r="E98" s="169" t="s">
        <v>16</v>
      </c>
      <c r="F98" s="167">
        <f t="shared" si="31"/>
        <v>1500000</v>
      </c>
      <c r="G98" s="167">
        <f t="shared" si="31"/>
        <v>1500000</v>
      </c>
    </row>
    <row r="99" spans="1:8" ht="18.75" customHeight="1" outlineLevel="7">
      <c r="A99" s="164" t="s">
        <v>17</v>
      </c>
      <c r="B99" s="163" t="s">
        <v>504</v>
      </c>
      <c r="C99" s="163" t="s">
        <v>24</v>
      </c>
      <c r="D99" s="163" t="s">
        <v>329</v>
      </c>
      <c r="E99" s="169" t="s">
        <v>18</v>
      </c>
      <c r="F99" s="184">
        <v>1500000</v>
      </c>
      <c r="G99" s="184">
        <v>1500000</v>
      </c>
    </row>
    <row r="100" spans="1:8" ht="36" outlineLevel="7">
      <c r="A100" s="200" t="s">
        <v>330</v>
      </c>
      <c r="B100" s="163" t="s">
        <v>504</v>
      </c>
      <c r="C100" s="163" t="s">
        <v>24</v>
      </c>
      <c r="D100" s="163" t="s">
        <v>319</v>
      </c>
      <c r="E100" s="169" t="s">
        <v>6</v>
      </c>
      <c r="F100" s="167">
        <f t="shared" ref="F100:G101" si="32">F101</f>
        <v>44157.5</v>
      </c>
      <c r="G100" s="167">
        <f t="shared" si="32"/>
        <v>44157.5</v>
      </c>
    </row>
    <row r="101" spans="1:8" ht="36" outlineLevel="7">
      <c r="A101" s="164" t="s">
        <v>15</v>
      </c>
      <c r="B101" s="163" t="s">
        <v>504</v>
      </c>
      <c r="C101" s="163" t="s">
        <v>24</v>
      </c>
      <c r="D101" s="163" t="s">
        <v>319</v>
      </c>
      <c r="E101" s="169" t="s">
        <v>16</v>
      </c>
      <c r="F101" s="167">
        <f t="shared" si="32"/>
        <v>44157.5</v>
      </c>
      <c r="G101" s="167">
        <f t="shared" si="32"/>
        <v>44157.5</v>
      </c>
    </row>
    <row r="102" spans="1:8" ht="19.5" customHeight="1" outlineLevel="7">
      <c r="A102" s="164" t="s">
        <v>17</v>
      </c>
      <c r="B102" s="163" t="s">
        <v>504</v>
      </c>
      <c r="C102" s="163" t="s">
        <v>24</v>
      </c>
      <c r="D102" s="163" t="s">
        <v>319</v>
      </c>
      <c r="E102" s="169" t="s">
        <v>18</v>
      </c>
      <c r="F102" s="167">
        <v>44157.5</v>
      </c>
      <c r="G102" s="167">
        <v>44157.5</v>
      </c>
    </row>
    <row r="103" spans="1:8" s="266" customFormat="1" ht="54" outlineLevel="7">
      <c r="A103" s="196" t="s">
        <v>880</v>
      </c>
      <c r="B103" s="197" t="s">
        <v>504</v>
      </c>
      <c r="C103" s="197" t="s">
        <v>24</v>
      </c>
      <c r="D103" s="197" t="s">
        <v>331</v>
      </c>
      <c r="E103" s="198" t="s">
        <v>6</v>
      </c>
      <c r="F103" s="171">
        <f t="shared" ref="F103:G104" si="33">F104</f>
        <v>1600000</v>
      </c>
      <c r="G103" s="171">
        <f t="shared" si="33"/>
        <v>1600000</v>
      </c>
      <c r="H103" s="265"/>
    </row>
    <row r="104" spans="1:8" ht="36" outlineLevel="7">
      <c r="A104" s="164" t="s">
        <v>215</v>
      </c>
      <c r="B104" s="163" t="s">
        <v>504</v>
      </c>
      <c r="C104" s="163" t="s">
        <v>24</v>
      </c>
      <c r="D104" s="163" t="s">
        <v>332</v>
      </c>
      <c r="E104" s="169" t="s">
        <v>6</v>
      </c>
      <c r="F104" s="167">
        <f t="shared" si="33"/>
        <v>1600000</v>
      </c>
      <c r="G104" s="167">
        <f t="shared" si="33"/>
        <v>1600000</v>
      </c>
    </row>
    <row r="105" spans="1:8" ht="72" outlineLevel="5">
      <c r="A105" s="164" t="s">
        <v>32</v>
      </c>
      <c r="B105" s="163" t="s">
        <v>504</v>
      </c>
      <c r="C105" s="163" t="s">
        <v>24</v>
      </c>
      <c r="D105" s="163" t="s">
        <v>333</v>
      </c>
      <c r="E105" s="169" t="s">
        <v>6</v>
      </c>
      <c r="F105" s="167">
        <f t="shared" ref="F105:G105" si="34">F106+F108</f>
        <v>1600000</v>
      </c>
      <c r="G105" s="167">
        <f t="shared" si="34"/>
        <v>1600000</v>
      </c>
    </row>
    <row r="106" spans="1:8" ht="36" outlineLevel="6">
      <c r="A106" s="164" t="s">
        <v>15</v>
      </c>
      <c r="B106" s="163" t="s">
        <v>504</v>
      </c>
      <c r="C106" s="163" t="s">
        <v>24</v>
      </c>
      <c r="D106" s="163" t="s">
        <v>333</v>
      </c>
      <c r="E106" s="169" t="s">
        <v>16</v>
      </c>
      <c r="F106" s="167">
        <f t="shared" ref="F106:G106" si="35">F107</f>
        <v>1460000</v>
      </c>
      <c r="G106" s="167">
        <f t="shared" si="35"/>
        <v>1460000</v>
      </c>
    </row>
    <row r="107" spans="1:8" ht="20.25" customHeight="1" outlineLevel="7">
      <c r="A107" s="164" t="s">
        <v>17</v>
      </c>
      <c r="B107" s="163" t="s">
        <v>504</v>
      </c>
      <c r="C107" s="163" t="s">
        <v>24</v>
      </c>
      <c r="D107" s="163" t="s">
        <v>333</v>
      </c>
      <c r="E107" s="169" t="s">
        <v>18</v>
      </c>
      <c r="F107" s="167">
        <f>1460000</f>
        <v>1460000</v>
      </c>
      <c r="G107" s="167">
        <f>1460000</f>
        <v>1460000</v>
      </c>
    </row>
    <row r="108" spans="1:8" outlineLevel="6">
      <c r="A108" s="164" t="s">
        <v>19</v>
      </c>
      <c r="B108" s="163" t="s">
        <v>504</v>
      </c>
      <c r="C108" s="163" t="s">
        <v>24</v>
      </c>
      <c r="D108" s="163" t="s">
        <v>333</v>
      </c>
      <c r="E108" s="169" t="s">
        <v>20</v>
      </c>
      <c r="F108" s="167">
        <f>F109</f>
        <v>140000</v>
      </c>
      <c r="G108" s="167">
        <f>G109</f>
        <v>140000</v>
      </c>
    </row>
    <row r="109" spans="1:8" outlineLevel="7">
      <c r="A109" s="164" t="s">
        <v>21</v>
      </c>
      <c r="B109" s="163" t="s">
        <v>504</v>
      </c>
      <c r="C109" s="163" t="s">
        <v>24</v>
      </c>
      <c r="D109" s="163" t="s">
        <v>333</v>
      </c>
      <c r="E109" s="169" t="s">
        <v>22</v>
      </c>
      <c r="F109" s="184">
        <v>140000</v>
      </c>
      <c r="G109" s="184">
        <v>140000</v>
      </c>
    </row>
    <row r="110" spans="1:8" ht="36" outlineLevel="3">
      <c r="A110" s="164" t="s">
        <v>132</v>
      </c>
      <c r="B110" s="163" t="s">
        <v>504</v>
      </c>
      <c r="C110" s="163" t="s">
        <v>24</v>
      </c>
      <c r="D110" s="163" t="s">
        <v>127</v>
      </c>
      <c r="E110" s="169" t="s">
        <v>6</v>
      </c>
      <c r="F110" s="167">
        <f>F128+F111+F125+F116</f>
        <v>44284577</v>
      </c>
      <c r="G110" s="167">
        <f>G128+G111+G125+G116</f>
        <v>45902289.950000003</v>
      </c>
    </row>
    <row r="111" spans="1:8" ht="54" outlineLevel="5">
      <c r="A111" s="164" t="s">
        <v>498</v>
      </c>
      <c r="B111" s="163" t="s">
        <v>504</v>
      </c>
      <c r="C111" s="163" t="s">
        <v>24</v>
      </c>
      <c r="D111" s="163" t="s">
        <v>499</v>
      </c>
      <c r="E111" s="169" t="s">
        <v>6</v>
      </c>
      <c r="F111" s="167">
        <f>F112+F114</f>
        <v>36378471</v>
      </c>
      <c r="G111" s="167">
        <f>G112+G114</f>
        <v>37757327.950000003</v>
      </c>
    </row>
    <row r="112" spans="1:8" ht="90" outlineLevel="6">
      <c r="A112" s="164" t="s">
        <v>11</v>
      </c>
      <c r="B112" s="163" t="s">
        <v>504</v>
      </c>
      <c r="C112" s="163" t="s">
        <v>24</v>
      </c>
      <c r="D112" s="163" t="s">
        <v>499</v>
      </c>
      <c r="E112" s="169" t="s">
        <v>12</v>
      </c>
      <c r="F112" s="167">
        <f t="shared" ref="F112:G112" si="36">F113</f>
        <v>36358471</v>
      </c>
      <c r="G112" s="167">
        <f t="shared" si="36"/>
        <v>37737327.950000003</v>
      </c>
    </row>
    <row r="113" spans="1:7" ht="36" outlineLevel="7">
      <c r="A113" s="164" t="s">
        <v>13</v>
      </c>
      <c r="B113" s="163" t="s">
        <v>504</v>
      </c>
      <c r="C113" s="163" t="s">
        <v>24</v>
      </c>
      <c r="D113" s="163" t="s">
        <v>499</v>
      </c>
      <c r="E113" s="169" t="s">
        <v>14</v>
      </c>
      <c r="F113" s="167">
        <v>36358471</v>
      </c>
      <c r="G113" s="167">
        <v>37737327.950000003</v>
      </c>
    </row>
    <row r="114" spans="1:7" ht="36" outlineLevel="7">
      <c r="A114" s="164" t="s">
        <v>15</v>
      </c>
      <c r="B114" s="163" t="s">
        <v>504</v>
      </c>
      <c r="C114" s="163" t="s">
        <v>24</v>
      </c>
      <c r="D114" s="163" t="s">
        <v>499</v>
      </c>
      <c r="E114" s="169" t="s">
        <v>16</v>
      </c>
      <c r="F114" s="184">
        <f t="shared" ref="F114:G114" si="37">F115</f>
        <v>20000</v>
      </c>
      <c r="G114" s="184">
        <f t="shared" si="37"/>
        <v>20000</v>
      </c>
    </row>
    <row r="115" spans="1:7" ht="18.75" customHeight="1" outlineLevel="7">
      <c r="A115" s="164" t="s">
        <v>17</v>
      </c>
      <c r="B115" s="163" t="s">
        <v>504</v>
      </c>
      <c r="C115" s="163" t="s">
        <v>24</v>
      </c>
      <c r="D115" s="163" t="s">
        <v>499</v>
      </c>
      <c r="E115" s="169" t="s">
        <v>18</v>
      </c>
      <c r="F115" s="167">
        <v>20000</v>
      </c>
      <c r="G115" s="167">
        <v>20000</v>
      </c>
    </row>
    <row r="116" spans="1:7" ht="39.15" customHeight="1" outlineLevel="7">
      <c r="A116" s="164" t="s">
        <v>699</v>
      </c>
      <c r="B116" s="163" t="s">
        <v>504</v>
      </c>
      <c r="C116" s="163" t="s">
        <v>24</v>
      </c>
      <c r="D116" s="163" t="s">
        <v>697</v>
      </c>
      <c r="E116" s="163" t="s">
        <v>6</v>
      </c>
      <c r="F116" s="167">
        <f t="shared" ref="F116:G116" si="38">F117</f>
        <v>150000</v>
      </c>
      <c r="G116" s="167">
        <f t="shared" si="38"/>
        <v>150000</v>
      </c>
    </row>
    <row r="117" spans="1:7" ht="28.5" customHeight="1" outlineLevel="7">
      <c r="A117" s="164" t="s">
        <v>19</v>
      </c>
      <c r="B117" s="163" t="s">
        <v>504</v>
      </c>
      <c r="C117" s="163" t="s">
        <v>24</v>
      </c>
      <c r="D117" s="163" t="s">
        <v>697</v>
      </c>
      <c r="E117" s="163" t="s">
        <v>20</v>
      </c>
      <c r="F117" s="167">
        <f t="shared" ref="F117:G117" si="39">F118+F119</f>
        <v>150000</v>
      </c>
      <c r="G117" s="167">
        <f t="shared" si="39"/>
        <v>150000</v>
      </c>
    </row>
    <row r="118" spans="1:7" ht="18.75" hidden="1" customHeight="1" outlineLevel="7">
      <c r="A118" s="164" t="s">
        <v>729</v>
      </c>
      <c r="B118" s="163" t="s">
        <v>504</v>
      </c>
      <c r="C118" s="163" t="s">
        <v>24</v>
      </c>
      <c r="D118" s="163" t="s">
        <v>697</v>
      </c>
      <c r="E118" s="205" t="s">
        <v>730</v>
      </c>
      <c r="F118" s="167">
        <v>0</v>
      </c>
      <c r="G118" s="167">
        <v>0</v>
      </c>
    </row>
    <row r="119" spans="1:7" ht="18" customHeight="1" outlineLevel="7">
      <c r="A119" s="164" t="s">
        <v>698</v>
      </c>
      <c r="B119" s="163" t="s">
        <v>504</v>
      </c>
      <c r="C119" s="163" t="s">
        <v>24</v>
      </c>
      <c r="D119" s="163" t="s">
        <v>697</v>
      </c>
      <c r="E119" s="163" t="s">
        <v>22</v>
      </c>
      <c r="F119" s="167">
        <f>150000</f>
        <v>150000</v>
      </c>
      <c r="G119" s="167">
        <f>150000</f>
        <v>150000</v>
      </c>
    </row>
    <row r="120" spans="1:7" ht="36" hidden="1" customHeight="1" outlineLevel="7">
      <c r="A120" s="33" t="s">
        <v>611</v>
      </c>
      <c r="B120" s="163" t="s">
        <v>504</v>
      </c>
      <c r="C120" s="163" t="s">
        <v>24</v>
      </c>
      <c r="D120" s="163" t="s">
        <v>612</v>
      </c>
      <c r="E120" s="163" t="s">
        <v>6</v>
      </c>
      <c r="F120" s="167">
        <f t="shared" ref="F120:G121" si="40">F121</f>
        <v>0</v>
      </c>
      <c r="G120" s="167">
        <f t="shared" si="40"/>
        <v>0</v>
      </c>
    </row>
    <row r="121" spans="1:7" ht="18.75" hidden="1" customHeight="1" outlineLevel="7">
      <c r="A121" s="164" t="s">
        <v>15</v>
      </c>
      <c r="B121" s="163" t="s">
        <v>504</v>
      </c>
      <c r="C121" s="163" t="s">
        <v>24</v>
      </c>
      <c r="D121" s="163" t="s">
        <v>612</v>
      </c>
      <c r="E121" s="163" t="s">
        <v>16</v>
      </c>
      <c r="F121" s="167">
        <f t="shared" si="40"/>
        <v>0</v>
      </c>
      <c r="G121" s="167">
        <f t="shared" si="40"/>
        <v>0</v>
      </c>
    </row>
    <row r="122" spans="1:7" ht="18.75" hidden="1" customHeight="1" outlineLevel="7">
      <c r="A122" s="164" t="s">
        <v>17</v>
      </c>
      <c r="B122" s="163" t="s">
        <v>504</v>
      </c>
      <c r="C122" s="163" t="s">
        <v>24</v>
      </c>
      <c r="D122" s="163" t="s">
        <v>612</v>
      </c>
      <c r="E122" s="163" t="s">
        <v>18</v>
      </c>
      <c r="F122" s="167">
        <v>0</v>
      </c>
      <c r="G122" s="167">
        <v>0</v>
      </c>
    </row>
    <row r="123" spans="1:7" ht="18.75" hidden="1" customHeight="1" outlineLevel="7">
      <c r="A123" s="164" t="s">
        <v>90</v>
      </c>
      <c r="B123" s="163" t="s">
        <v>504</v>
      </c>
      <c r="C123" s="163" t="s">
        <v>24</v>
      </c>
      <c r="D123" s="163" t="s">
        <v>612</v>
      </c>
      <c r="E123" s="163" t="s">
        <v>91</v>
      </c>
      <c r="F123" s="167">
        <f t="shared" ref="F123:G123" si="41">F124</f>
        <v>0</v>
      </c>
      <c r="G123" s="167">
        <f t="shared" si="41"/>
        <v>0</v>
      </c>
    </row>
    <row r="124" spans="1:7" ht="38.25" hidden="1" customHeight="1" outlineLevel="7">
      <c r="A124" s="164" t="s">
        <v>97</v>
      </c>
      <c r="B124" s="163" t="s">
        <v>504</v>
      </c>
      <c r="C124" s="163" t="s">
        <v>24</v>
      </c>
      <c r="D124" s="163" t="s">
        <v>612</v>
      </c>
      <c r="E124" s="163" t="s">
        <v>98</v>
      </c>
      <c r="F124" s="167">
        <v>0</v>
      </c>
      <c r="G124" s="167">
        <v>0</v>
      </c>
    </row>
    <row r="125" spans="1:7" ht="19.5" customHeight="1" outlineLevel="7">
      <c r="A125" s="164" t="s">
        <v>507</v>
      </c>
      <c r="B125" s="163" t="s">
        <v>504</v>
      </c>
      <c r="C125" s="163" t="s">
        <v>24</v>
      </c>
      <c r="D125" s="163" t="s">
        <v>506</v>
      </c>
      <c r="E125" s="169" t="s">
        <v>6</v>
      </c>
      <c r="F125" s="184">
        <f t="shared" ref="F125:G126" si="42">F126</f>
        <v>200000</v>
      </c>
      <c r="G125" s="184">
        <f t="shared" si="42"/>
        <v>200000</v>
      </c>
    </row>
    <row r="126" spans="1:7" ht="36" outlineLevel="7">
      <c r="A126" s="164" t="s">
        <v>15</v>
      </c>
      <c r="B126" s="163" t="s">
        <v>504</v>
      </c>
      <c r="C126" s="163" t="s">
        <v>24</v>
      </c>
      <c r="D126" s="163" t="s">
        <v>506</v>
      </c>
      <c r="E126" s="169" t="s">
        <v>16</v>
      </c>
      <c r="F126" s="184">
        <f t="shared" si="42"/>
        <v>200000</v>
      </c>
      <c r="G126" s="184">
        <f t="shared" si="42"/>
        <v>200000</v>
      </c>
    </row>
    <row r="127" spans="1:7" ht="20.25" customHeight="1" outlineLevel="7">
      <c r="A127" s="164" t="s">
        <v>17</v>
      </c>
      <c r="B127" s="163" t="s">
        <v>504</v>
      </c>
      <c r="C127" s="163" t="s">
        <v>24</v>
      </c>
      <c r="D127" s="163" t="s">
        <v>506</v>
      </c>
      <c r="E127" s="169" t="s">
        <v>18</v>
      </c>
      <c r="F127" s="167">
        <v>200000</v>
      </c>
      <c r="G127" s="167">
        <v>200000</v>
      </c>
    </row>
    <row r="128" spans="1:7" outlineLevel="3">
      <c r="A128" s="164" t="s">
        <v>277</v>
      </c>
      <c r="B128" s="163" t="s">
        <v>504</v>
      </c>
      <c r="C128" s="163" t="s">
        <v>24</v>
      </c>
      <c r="D128" s="163" t="s">
        <v>276</v>
      </c>
      <c r="E128" s="169" t="s">
        <v>6</v>
      </c>
      <c r="F128" s="167">
        <f>F152+F129+F137+F142+F147+F134</f>
        <v>7556106</v>
      </c>
      <c r="G128" s="167">
        <f>G152+G129+G137+G142+G147+G134</f>
        <v>7794962</v>
      </c>
    </row>
    <row r="129" spans="1:7" ht="72" outlineLevel="3">
      <c r="A129" s="187" t="s">
        <v>438</v>
      </c>
      <c r="B129" s="163" t="s">
        <v>504</v>
      </c>
      <c r="C129" s="163" t="s">
        <v>24</v>
      </c>
      <c r="D129" s="163" t="s">
        <v>278</v>
      </c>
      <c r="E129" s="169" t="s">
        <v>6</v>
      </c>
      <c r="F129" s="167">
        <f t="shared" ref="F129:G129" si="43">F130+F132</f>
        <v>1430240</v>
      </c>
      <c r="G129" s="167">
        <f t="shared" si="43"/>
        <v>1480720</v>
      </c>
    </row>
    <row r="130" spans="1:7" ht="90" outlineLevel="3">
      <c r="A130" s="164" t="s">
        <v>11</v>
      </c>
      <c r="B130" s="163" t="s">
        <v>504</v>
      </c>
      <c r="C130" s="163" t="s">
        <v>24</v>
      </c>
      <c r="D130" s="163" t="s">
        <v>278</v>
      </c>
      <c r="E130" s="169" t="s">
        <v>12</v>
      </c>
      <c r="F130" s="167">
        <f t="shared" ref="F130:G130" si="44">F131</f>
        <v>1415240</v>
      </c>
      <c r="G130" s="167">
        <f t="shared" si="44"/>
        <v>1465720</v>
      </c>
    </row>
    <row r="131" spans="1:7" ht="36" outlineLevel="3">
      <c r="A131" s="164" t="s">
        <v>13</v>
      </c>
      <c r="B131" s="163" t="s">
        <v>504</v>
      </c>
      <c r="C131" s="163" t="s">
        <v>24</v>
      </c>
      <c r="D131" s="163" t="s">
        <v>278</v>
      </c>
      <c r="E131" s="169" t="s">
        <v>14</v>
      </c>
      <c r="F131" s="167">
        <f>1399316+15924</f>
        <v>1415240</v>
      </c>
      <c r="G131" s="167">
        <f>1399316+66404</f>
        <v>1465720</v>
      </c>
    </row>
    <row r="132" spans="1:7" ht="47.25" customHeight="1" outlineLevel="7">
      <c r="A132" s="164" t="s">
        <v>15</v>
      </c>
      <c r="B132" s="163" t="s">
        <v>504</v>
      </c>
      <c r="C132" s="163" t="s">
        <v>24</v>
      </c>
      <c r="D132" s="163" t="s">
        <v>278</v>
      </c>
      <c r="E132" s="169" t="s">
        <v>16</v>
      </c>
      <c r="F132" s="167">
        <f t="shared" ref="F132:G132" si="45">F133</f>
        <v>15000</v>
      </c>
      <c r="G132" s="167">
        <f t="shared" si="45"/>
        <v>15000</v>
      </c>
    </row>
    <row r="133" spans="1:7" ht="36" outlineLevel="7">
      <c r="A133" s="164" t="s">
        <v>17</v>
      </c>
      <c r="B133" s="163" t="s">
        <v>504</v>
      </c>
      <c r="C133" s="163" t="s">
        <v>24</v>
      </c>
      <c r="D133" s="163" t="s">
        <v>278</v>
      </c>
      <c r="E133" s="169" t="s">
        <v>18</v>
      </c>
      <c r="F133" s="167">
        <v>15000</v>
      </c>
      <c r="G133" s="167">
        <v>15000</v>
      </c>
    </row>
    <row r="134" spans="1:7" ht="93.75" customHeight="1" outlineLevel="7">
      <c r="A134" s="164" t="s">
        <v>736</v>
      </c>
      <c r="B134" s="163" t="s">
        <v>504</v>
      </c>
      <c r="C134" s="163" t="s">
        <v>24</v>
      </c>
      <c r="D134" s="163" t="s">
        <v>735</v>
      </c>
      <c r="E134" s="163" t="s">
        <v>6</v>
      </c>
      <c r="F134" s="167">
        <f t="shared" ref="F134:G135" si="46">F135</f>
        <v>353579</v>
      </c>
      <c r="G134" s="167">
        <f t="shared" si="46"/>
        <v>353579</v>
      </c>
    </row>
    <row r="135" spans="1:7" ht="36" outlineLevel="7">
      <c r="A135" s="164" t="s">
        <v>13</v>
      </c>
      <c r="B135" s="163" t="s">
        <v>504</v>
      </c>
      <c r="C135" s="163" t="s">
        <v>24</v>
      </c>
      <c r="D135" s="163" t="s">
        <v>735</v>
      </c>
      <c r="E135" s="163" t="s">
        <v>12</v>
      </c>
      <c r="F135" s="167">
        <f t="shared" si="46"/>
        <v>353579</v>
      </c>
      <c r="G135" s="167">
        <f t="shared" si="46"/>
        <v>353579</v>
      </c>
    </row>
    <row r="136" spans="1:7" ht="20.25" customHeight="1" outlineLevel="7">
      <c r="A136" s="164" t="s">
        <v>15</v>
      </c>
      <c r="B136" s="163" t="s">
        <v>504</v>
      </c>
      <c r="C136" s="163" t="s">
        <v>24</v>
      </c>
      <c r="D136" s="163" t="s">
        <v>735</v>
      </c>
      <c r="E136" s="163" t="s">
        <v>14</v>
      </c>
      <c r="F136" s="167">
        <v>353579</v>
      </c>
      <c r="G136" s="167">
        <v>353579</v>
      </c>
    </row>
    <row r="137" spans="1:7" ht="36.75" customHeight="1" outlineLevel="7">
      <c r="A137" s="187" t="s">
        <v>584</v>
      </c>
      <c r="B137" s="163" t="s">
        <v>504</v>
      </c>
      <c r="C137" s="163" t="s">
        <v>24</v>
      </c>
      <c r="D137" s="163" t="s">
        <v>591</v>
      </c>
      <c r="E137" s="169" t="s">
        <v>6</v>
      </c>
      <c r="F137" s="167">
        <f t="shared" ref="F137:G137" si="47">F138+F140</f>
        <v>2174817</v>
      </c>
      <c r="G137" s="167">
        <f t="shared" si="47"/>
        <v>2256758</v>
      </c>
    </row>
    <row r="138" spans="1:7" ht="39.75" customHeight="1" outlineLevel="7">
      <c r="A138" s="164" t="s">
        <v>11</v>
      </c>
      <c r="B138" s="163" t="s">
        <v>504</v>
      </c>
      <c r="C138" s="163" t="s">
        <v>24</v>
      </c>
      <c r="D138" s="163" t="s">
        <v>591</v>
      </c>
      <c r="E138" s="169" t="s">
        <v>12</v>
      </c>
      <c r="F138" s="167">
        <f t="shared" ref="F138:G138" si="48">F139</f>
        <v>2159817</v>
      </c>
      <c r="G138" s="167">
        <f t="shared" si="48"/>
        <v>2241758</v>
      </c>
    </row>
    <row r="139" spans="1:7" ht="39.75" customHeight="1" outlineLevel="7">
      <c r="A139" s="164" t="s">
        <v>13</v>
      </c>
      <c r="B139" s="163" t="s">
        <v>504</v>
      </c>
      <c r="C139" s="163" t="s">
        <v>24</v>
      </c>
      <c r="D139" s="163" t="s">
        <v>591</v>
      </c>
      <c r="E139" s="169" t="s">
        <v>14</v>
      </c>
      <c r="F139" s="167">
        <f>2081028+78789</f>
        <v>2159817</v>
      </c>
      <c r="G139" s="167">
        <f>2081028+160730</f>
        <v>2241758</v>
      </c>
    </row>
    <row r="140" spans="1:7" ht="36" outlineLevel="7">
      <c r="A140" s="164" t="s">
        <v>15</v>
      </c>
      <c r="B140" s="163" t="s">
        <v>504</v>
      </c>
      <c r="C140" s="163" t="s">
        <v>24</v>
      </c>
      <c r="D140" s="163" t="s">
        <v>591</v>
      </c>
      <c r="E140" s="169" t="s">
        <v>16</v>
      </c>
      <c r="F140" s="167">
        <f t="shared" ref="F140:G140" si="49">F141</f>
        <v>15000</v>
      </c>
      <c r="G140" s="167">
        <f t="shared" si="49"/>
        <v>15000</v>
      </c>
    </row>
    <row r="141" spans="1:7" ht="36" outlineLevel="7">
      <c r="A141" s="164" t="s">
        <v>17</v>
      </c>
      <c r="B141" s="163" t="s">
        <v>504</v>
      </c>
      <c r="C141" s="163" t="s">
        <v>24</v>
      </c>
      <c r="D141" s="163" t="s">
        <v>591</v>
      </c>
      <c r="E141" s="169" t="s">
        <v>18</v>
      </c>
      <c r="F141" s="167">
        <v>15000</v>
      </c>
      <c r="G141" s="167">
        <v>15000</v>
      </c>
    </row>
    <row r="142" spans="1:7" ht="72" outlineLevel="7">
      <c r="A142" s="187" t="s">
        <v>382</v>
      </c>
      <c r="B142" s="163" t="s">
        <v>504</v>
      </c>
      <c r="C142" s="163" t="s">
        <v>24</v>
      </c>
      <c r="D142" s="163" t="s">
        <v>279</v>
      </c>
      <c r="E142" s="169" t="s">
        <v>6</v>
      </c>
      <c r="F142" s="167">
        <f t="shared" ref="F142:G142" si="50">F143+F145</f>
        <v>861546</v>
      </c>
      <c r="G142" s="167">
        <f t="shared" si="50"/>
        <v>893408</v>
      </c>
    </row>
    <row r="143" spans="1:7" ht="90" outlineLevel="7">
      <c r="A143" s="164" t="s">
        <v>11</v>
      </c>
      <c r="B143" s="163" t="s">
        <v>504</v>
      </c>
      <c r="C143" s="163" t="s">
        <v>24</v>
      </c>
      <c r="D143" s="163" t="s">
        <v>279</v>
      </c>
      <c r="E143" s="169" t="s">
        <v>12</v>
      </c>
      <c r="F143" s="167">
        <f t="shared" ref="F143:G143" si="51">F144</f>
        <v>816546</v>
      </c>
      <c r="G143" s="167">
        <f t="shared" si="51"/>
        <v>848408</v>
      </c>
    </row>
    <row r="144" spans="1:7" ht="21.15" customHeight="1" outlineLevel="7">
      <c r="A144" s="164" t="s">
        <v>13</v>
      </c>
      <c r="B144" s="163" t="s">
        <v>504</v>
      </c>
      <c r="C144" s="163" t="s">
        <v>24</v>
      </c>
      <c r="D144" s="163" t="s">
        <v>279</v>
      </c>
      <c r="E144" s="169" t="s">
        <v>14</v>
      </c>
      <c r="F144" s="218">
        <f>785909+30637</f>
        <v>816546</v>
      </c>
      <c r="G144" s="218">
        <f>785909+62499</f>
        <v>848408</v>
      </c>
    </row>
    <row r="145" spans="1:7" ht="56.25" customHeight="1" outlineLevel="7">
      <c r="A145" s="164" t="s">
        <v>15</v>
      </c>
      <c r="B145" s="163" t="s">
        <v>504</v>
      </c>
      <c r="C145" s="163" t="s">
        <v>24</v>
      </c>
      <c r="D145" s="163" t="s">
        <v>279</v>
      </c>
      <c r="E145" s="169" t="s">
        <v>16</v>
      </c>
      <c r="F145" s="167">
        <f t="shared" ref="F145:G145" si="52">F146</f>
        <v>45000</v>
      </c>
      <c r="G145" s="167">
        <f t="shared" si="52"/>
        <v>45000</v>
      </c>
    </row>
    <row r="146" spans="1:7" ht="36" outlineLevel="7">
      <c r="A146" s="164" t="s">
        <v>17</v>
      </c>
      <c r="B146" s="163" t="s">
        <v>504</v>
      </c>
      <c r="C146" s="163" t="s">
        <v>24</v>
      </c>
      <c r="D146" s="163" t="s">
        <v>279</v>
      </c>
      <c r="E146" s="169" t="s">
        <v>18</v>
      </c>
      <c r="F146" s="167">
        <v>45000</v>
      </c>
      <c r="G146" s="167">
        <v>45000</v>
      </c>
    </row>
    <row r="147" spans="1:7" ht="54" outlineLevel="7">
      <c r="A147" s="164" t="s">
        <v>406</v>
      </c>
      <c r="B147" s="163" t="s">
        <v>504</v>
      </c>
      <c r="C147" s="163" t="s">
        <v>24</v>
      </c>
      <c r="D147" s="163" t="s">
        <v>407</v>
      </c>
      <c r="E147" s="169" t="s">
        <v>6</v>
      </c>
      <c r="F147" s="167">
        <f>F148+F150</f>
        <v>2021924</v>
      </c>
      <c r="G147" s="167">
        <f>G148+G150</f>
        <v>2096497</v>
      </c>
    </row>
    <row r="148" spans="1:7" ht="90" outlineLevel="7">
      <c r="A148" s="164" t="s">
        <v>11</v>
      </c>
      <c r="B148" s="163" t="s">
        <v>504</v>
      </c>
      <c r="C148" s="163" t="s">
        <v>24</v>
      </c>
      <c r="D148" s="163" t="s">
        <v>407</v>
      </c>
      <c r="E148" s="169" t="s">
        <v>12</v>
      </c>
      <c r="F148" s="167">
        <f>F149</f>
        <v>1864324</v>
      </c>
      <c r="G148" s="167">
        <f>G149</f>
        <v>1938897</v>
      </c>
    </row>
    <row r="149" spans="1:7" ht="21.15" customHeight="1" outlineLevel="7">
      <c r="A149" s="164" t="s">
        <v>13</v>
      </c>
      <c r="B149" s="163" t="s">
        <v>504</v>
      </c>
      <c r="C149" s="163" t="s">
        <v>24</v>
      </c>
      <c r="D149" s="163" t="s">
        <v>407</v>
      </c>
      <c r="E149" s="169" t="s">
        <v>14</v>
      </c>
      <c r="F149" s="167">
        <f>1792619+71705</f>
        <v>1864324</v>
      </c>
      <c r="G149" s="167">
        <f>1792620+146277</f>
        <v>1938897</v>
      </c>
    </row>
    <row r="150" spans="1:7" ht="38.25" customHeight="1" outlineLevel="7">
      <c r="A150" s="164" t="s">
        <v>15</v>
      </c>
      <c r="B150" s="163" t="s">
        <v>504</v>
      </c>
      <c r="C150" s="163" t="s">
        <v>24</v>
      </c>
      <c r="D150" s="163" t="s">
        <v>407</v>
      </c>
      <c r="E150" s="169" t="s">
        <v>16</v>
      </c>
      <c r="F150" s="167">
        <f>F151</f>
        <v>157600</v>
      </c>
      <c r="G150" s="167">
        <f>G151</f>
        <v>157600</v>
      </c>
    </row>
    <row r="151" spans="1:7" ht="36" outlineLevel="7">
      <c r="A151" s="164" t="s">
        <v>17</v>
      </c>
      <c r="B151" s="163" t="s">
        <v>504</v>
      </c>
      <c r="C151" s="163" t="s">
        <v>24</v>
      </c>
      <c r="D151" s="163" t="s">
        <v>407</v>
      </c>
      <c r="E151" s="169" t="s">
        <v>18</v>
      </c>
      <c r="F151" s="167">
        <v>157600</v>
      </c>
      <c r="G151" s="167">
        <v>157600</v>
      </c>
    </row>
    <row r="152" spans="1:7" ht="126" outlineLevel="7">
      <c r="A152" s="187" t="s">
        <v>667</v>
      </c>
      <c r="B152" s="163" t="s">
        <v>504</v>
      </c>
      <c r="C152" s="163" t="s">
        <v>24</v>
      </c>
      <c r="D152" s="163" t="s">
        <v>295</v>
      </c>
      <c r="E152" s="169" t="s">
        <v>6</v>
      </c>
      <c r="F152" s="167">
        <f>F153+F155</f>
        <v>714000</v>
      </c>
      <c r="G152" s="167">
        <f>G153+G155</f>
        <v>714000</v>
      </c>
    </row>
    <row r="153" spans="1:7" ht="90" outlineLevel="7">
      <c r="A153" s="164" t="s">
        <v>11</v>
      </c>
      <c r="B153" s="163" t="s">
        <v>504</v>
      </c>
      <c r="C153" s="163" t="s">
        <v>24</v>
      </c>
      <c r="D153" s="163" t="s">
        <v>295</v>
      </c>
      <c r="E153" s="169" t="s">
        <v>12</v>
      </c>
      <c r="F153" s="167">
        <f t="shared" ref="F153:G153" si="53">F154</f>
        <v>654000</v>
      </c>
      <c r="G153" s="167">
        <f t="shared" si="53"/>
        <v>654000</v>
      </c>
    </row>
    <row r="154" spans="1:7" ht="19.5" customHeight="1" outlineLevel="7">
      <c r="A154" s="164" t="s">
        <v>13</v>
      </c>
      <c r="B154" s="163" t="s">
        <v>504</v>
      </c>
      <c r="C154" s="163" t="s">
        <v>24</v>
      </c>
      <c r="D154" s="163" t="s">
        <v>295</v>
      </c>
      <c r="E154" s="169" t="s">
        <v>14</v>
      </c>
      <c r="F154" s="167">
        <v>654000</v>
      </c>
      <c r="G154" s="167">
        <v>654000</v>
      </c>
    </row>
    <row r="155" spans="1:7" ht="41.25" customHeight="1" outlineLevel="3">
      <c r="A155" s="164" t="s">
        <v>15</v>
      </c>
      <c r="B155" s="163" t="s">
        <v>504</v>
      </c>
      <c r="C155" s="163" t="s">
        <v>24</v>
      </c>
      <c r="D155" s="163" t="s">
        <v>295</v>
      </c>
      <c r="E155" s="169" t="s">
        <v>16</v>
      </c>
      <c r="F155" s="167">
        <f>F156</f>
        <v>60000</v>
      </c>
      <c r="G155" s="167">
        <f>G156</f>
        <v>60000</v>
      </c>
    </row>
    <row r="156" spans="1:7" ht="36" outlineLevel="3">
      <c r="A156" s="164" t="s">
        <v>17</v>
      </c>
      <c r="B156" s="163" t="s">
        <v>504</v>
      </c>
      <c r="C156" s="163" t="s">
        <v>24</v>
      </c>
      <c r="D156" s="163" t="s">
        <v>295</v>
      </c>
      <c r="E156" s="169" t="s">
        <v>18</v>
      </c>
      <c r="F156" s="167">
        <v>60000</v>
      </c>
      <c r="G156" s="167">
        <v>60000</v>
      </c>
    </row>
    <row r="157" spans="1:7" ht="23.25" customHeight="1" outlineLevel="3">
      <c r="A157" s="196" t="s">
        <v>592</v>
      </c>
      <c r="B157" s="197" t="s">
        <v>504</v>
      </c>
      <c r="C157" s="197" t="s">
        <v>26</v>
      </c>
      <c r="D157" s="197" t="s">
        <v>126</v>
      </c>
      <c r="E157" s="198" t="s">
        <v>6</v>
      </c>
      <c r="F157" s="167">
        <f t="shared" ref="F157:G162" si="54">F158</f>
        <v>1712603</v>
      </c>
      <c r="G157" s="167">
        <f t="shared" si="54"/>
        <v>1722603</v>
      </c>
    </row>
    <row r="158" spans="1:7" ht="20.25" customHeight="1" outlineLevel="3">
      <c r="A158" s="164" t="s">
        <v>593</v>
      </c>
      <c r="B158" s="163" t="s">
        <v>504</v>
      </c>
      <c r="C158" s="163" t="s">
        <v>594</v>
      </c>
      <c r="D158" s="163" t="s">
        <v>126</v>
      </c>
      <c r="E158" s="169" t="s">
        <v>6</v>
      </c>
      <c r="F158" s="167">
        <f t="shared" si="54"/>
        <v>1712603</v>
      </c>
      <c r="G158" s="167">
        <f t="shared" si="54"/>
        <v>1722603</v>
      </c>
    </row>
    <row r="159" spans="1:7" ht="36" outlineLevel="3">
      <c r="A159" s="164" t="s">
        <v>132</v>
      </c>
      <c r="B159" s="163" t="s">
        <v>504</v>
      </c>
      <c r="C159" s="163" t="s">
        <v>594</v>
      </c>
      <c r="D159" s="163" t="s">
        <v>127</v>
      </c>
      <c r="E159" s="169" t="s">
        <v>6</v>
      </c>
      <c r="F159" s="167">
        <f t="shared" ref="F159:G159" si="55">F160+F164</f>
        <v>1712603</v>
      </c>
      <c r="G159" s="167">
        <f t="shared" si="55"/>
        <v>1722603</v>
      </c>
    </row>
    <row r="160" spans="1:7" ht="19.5" customHeight="1" outlineLevel="3">
      <c r="A160" s="164" t="s">
        <v>277</v>
      </c>
      <c r="B160" s="163" t="s">
        <v>504</v>
      </c>
      <c r="C160" s="163" t="s">
        <v>594</v>
      </c>
      <c r="D160" s="163" t="s">
        <v>276</v>
      </c>
      <c r="E160" s="169" t="s">
        <v>6</v>
      </c>
      <c r="F160" s="167">
        <f t="shared" si="54"/>
        <v>1442603</v>
      </c>
      <c r="G160" s="167">
        <f t="shared" si="54"/>
        <v>1442603</v>
      </c>
    </row>
    <row r="161" spans="1:8" ht="19.5" customHeight="1" outlineLevel="3">
      <c r="A161" s="200" t="s">
        <v>595</v>
      </c>
      <c r="B161" s="163" t="s">
        <v>504</v>
      </c>
      <c r="C161" s="163" t="s">
        <v>594</v>
      </c>
      <c r="D161" s="163" t="s">
        <v>596</v>
      </c>
      <c r="E161" s="169" t="s">
        <v>6</v>
      </c>
      <c r="F161" s="167">
        <f t="shared" si="54"/>
        <v>1442603</v>
      </c>
      <c r="G161" s="167">
        <f t="shared" si="54"/>
        <v>1442603</v>
      </c>
    </row>
    <row r="162" spans="1:8" ht="90" outlineLevel="3">
      <c r="A162" s="164" t="s">
        <v>11</v>
      </c>
      <c r="B162" s="163" t="s">
        <v>504</v>
      </c>
      <c r="C162" s="163" t="s">
        <v>594</v>
      </c>
      <c r="D162" s="163" t="s">
        <v>596</v>
      </c>
      <c r="E162" s="169" t="s">
        <v>12</v>
      </c>
      <c r="F162" s="167">
        <f t="shared" si="54"/>
        <v>1442603</v>
      </c>
      <c r="G162" s="167">
        <f t="shared" si="54"/>
        <v>1442603</v>
      </c>
    </row>
    <row r="163" spans="1:8" ht="36" outlineLevel="3">
      <c r="A163" s="164" t="s">
        <v>13</v>
      </c>
      <c r="B163" s="163" t="s">
        <v>504</v>
      </c>
      <c r="C163" s="163" t="s">
        <v>594</v>
      </c>
      <c r="D163" s="163" t="s">
        <v>596</v>
      </c>
      <c r="E163" s="169" t="s">
        <v>14</v>
      </c>
      <c r="F163" s="167">
        <v>1442603</v>
      </c>
      <c r="G163" s="167">
        <v>1442603</v>
      </c>
    </row>
    <row r="164" spans="1:8" ht="54" outlineLevel="3">
      <c r="A164" s="200" t="s">
        <v>737</v>
      </c>
      <c r="B164" s="163" t="s">
        <v>504</v>
      </c>
      <c r="C164" s="163" t="s">
        <v>594</v>
      </c>
      <c r="D164" s="163" t="s">
        <v>742</v>
      </c>
      <c r="E164" s="163" t="s">
        <v>6</v>
      </c>
      <c r="F164" s="167">
        <f t="shared" ref="F164:G165" si="56">F165</f>
        <v>270000</v>
      </c>
      <c r="G164" s="167">
        <f t="shared" si="56"/>
        <v>280000</v>
      </c>
    </row>
    <row r="165" spans="1:8" ht="90" outlineLevel="3">
      <c r="A165" s="164" t="s">
        <v>11</v>
      </c>
      <c r="B165" s="163" t="s">
        <v>504</v>
      </c>
      <c r="C165" s="163" t="s">
        <v>594</v>
      </c>
      <c r="D165" s="163" t="s">
        <v>742</v>
      </c>
      <c r="E165" s="163" t="s">
        <v>12</v>
      </c>
      <c r="F165" s="167">
        <f t="shared" si="56"/>
        <v>270000</v>
      </c>
      <c r="G165" s="167">
        <f t="shared" si="56"/>
        <v>280000</v>
      </c>
    </row>
    <row r="166" spans="1:8" ht="36" outlineLevel="3">
      <c r="A166" s="164" t="s">
        <v>13</v>
      </c>
      <c r="B166" s="163" t="s">
        <v>504</v>
      </c>
      <c r="C166" s="163" t="s">
        <v>594</v>
      </c>
      <c r="D166" s="163" t="s">
        <v>742</v>
      </c>
      <c r="E166" s="163" t="s">
        <v>14</v>
      </c>
      <c r="F166" s="167">
        <v>270000</v>
      </c>
      <c r="G166" s="167">
        <v>280000</v>
      </c>
    </row>
    <row r="167" spans="1:8" ht="36" outlineLevel="3">
      <c r="A167" s="196" t="s">
        <v>41</v>
      </c>
      <c r="B167" s="197" t="s">
        <v>504</v>
      </c>
      <c r="C167" s="197" t="s">
        <v>42</v>
      </c>
      <c r="D167" s="197" t="s">
        <v>126</v>
      </c>
      <c r="E167" s="198" t="s">
        <v>6</v>
      </c>
      <c r="F167" s="171">
        <f>F168+F173</f>
        <v>400000</v>
      </c>
      <c r="G167" s="171">
        <f>G168+G173</f>
        <v>400000</v>
      </c>
    </row>
    <row r="168" spans="1:8" ht="54" outlineLevel="3">
      <c r="A168" s="164" t="s">
        <v>43</v>
      </c>
      <c r="B168" s="163" t="s">
        <v>504</v>
      </c>
      <c r="C168" s="163" t="s">
        <v>44</v>
      </c>
      <c r="D168" s="163" t="s">
        <v>126</v>
      </c>
      <c r="E168" s="169" t="s">
        <v>6</v>
      </c>
      <c r="F168" s="167">
        <f t="shared" ref="F168:G171" si="57">F169</f>
        <v>200000</v>
      </c>
      <c r="G168" s="167">
        <f t="shared" si="57"/>
        <v>200000</v>
      </c>
    </row>
    <row r="169" spans="1:8" ht="36" outlineLevel="3">
      <c r="A169" s="164" t="s">
        <v>132</v>
      </c>
      <c r="B169" s="163" t="s">
        <v>504</v>
      </c>
      <c r="C169" s="163" t="s">
        <v>44</v>
      </c>
      <c r="D169" s="163" t="s">
        <v>127</v>
      </c>
      <c r="E169" s="169" t="s">
        <v>6</v>
      </c>
      <c r="F169" s="167">
        <f t="shared" si="57"/>
        <v>200000</v>
      </c>
      <c r="G169" s="167">
        <f t="shared" si="57"/>
        <v>200000</v>
      </c>
    </row>
    <row r="170" spans="1:8" s="266" customFormat="1" ht="36" outlineLevel="1">
      <c r="A170" s="164" t="s">
        <v>45</v>
      </c>
      <c r="B170" s="163" t="s">
        <v>504</v>
      </c>
      <c r="C170" s="163" t="s">
        <v>44</v>
      </c>
      <c r="D170" s="163" t="s">
        <v>133</v>
      </c>
      <c r="E170" s="169" t="s">
        <v>6</v>
      </c>
      <c r="F170" s="167">
        <f t="shared" si="57"/>
        <v>200000</v>
      </c>
      <c r="G170" s="167">
        <f t="shared" si="57"/>
        <v>200000</v>
      </c>
      <c r="H170" s="265"/>
    </row>
    <row r="171" spans="1:8" ht="36" outlineLevel="2">
      <c r="A171" s="164" t="s">
        <v>15</v>
      </c>
      <c r="B171" s="163" t="s">
        <v>504</v>
      </c>
      <c r="C171" s="163" t="s">
        <v>44</v>
      </c>
      <c r="D171" s="163" t="s">
        <v>133</v>
      </c>
      <c r="E171" s="169" t="s">
        <v>16</v>
      </c>
      <c r="F171" s="167">
        <f t="shared" si="57"/>
        <v>200000</v>
      </c>
      <c r="G171" s="167">
        <f t="shared" si="57"/>
        <v>200000</v>
      </c>
    </row>
    <row r="172" spans="1:8" ht="36" outlineLevel="4">
      <c r="A172" s="164" t="s">
        <v>17</v>
      </c>
      <c r="B172" s="163" t="s">
        <v>504</v>
      </c>
      <c r="C172" s="163" t="s">
        <v>44</v>
      </c>
      <c r="D172" s="163" t="s">
        <v>133</v>
      </c>
      <c r="E172" s="169" t="s">
        <v>18</v>
      </c>
      <c r="F172" s="167">
        <v>200000</v>
      </c>
      <c r="G172" s="167">
        <v>200000</v>
      </c>
    </row>
    <row r="173" spans="1:8" outlineLevel="5">
      <c r="A173" s="164" t="s">
        <v>508</v>
      </c>
      <c r="B173" s="163" t="s">
        <v>504</v>
      </c>
      <c r="C173" s="163" t="s">
        <v>509</v>
      </c>
      <c r="D173" s="163" t="s">
        <v>126</v>
      </c>
      <c r="E173" s="169" t="s">
        <v>6</v>
      </c>
      <c r="F173" s="167">
        <f t="shared" ref="F173:G176" si="58">F174</f>
        <v>200000</v>
      </c>
      <c r="G173" s="167">
        <f t="shared" si="58"/>
        <v>200000</v>
      </c>
    </row>
    <row r="174" spans="1:8" ht="36" outlineLevel="6">
      <c r="A174" s="164" t="s">
        <v>132</v>
      </c>
      <c r="B174" s="163" t="s">
        <v>504</v>
      </c>
      <c r="C174" s="163" t="s">
        <v>509</v>
      </c>
      <c r="D174" s="163" t="s">
        <v>127</v>
      </c>
      <c r="E174" s="169" t="s">
        <v>6</v>
      </c>
      <c r="F174" s="167">
        <f t="shared" si="58"/>
        <v>200000</v>
      </c>
      <c r="G174" s="167">
        <f t="shared" si="58"/>
        <v>200000</v>
      </c>
    </row>
    <row r="175" spans="1:8" ht="48.15" customHeight="1" outlineLevel="7">
      <c r="A175" s="164" t="s">
        <v>510</v>
      </c>
      <c r="B175" s="163" t="s">
        <v>504</v>
      </c>
      <c r="C175" s="163" t="s">
        <v>509</v>
      </c>
      <c r="D175" s="163" t="s">
        <v>696</v>
      </c>
      <c r="E175" s="169" t="s">
        <v>6</v>
      </c>
      <c r="F175" s="167">
        <f t="shared" si="58"/>
        <v>200000</v>
      </c>
      <c r="G175" s="167">
        <f t="shared" si="58"/>
        <v>200000</v>
      </c>
    </row>
    <row r="176" spans="1:8" ht="20.25" customHeight="1" outlineLevel="7">
      <c r="A176" s="164" t="s">
        <v>15</v>
      </c>
      <c r="B176" s="163" t="s">
        <v>504</v>
      </c>
      <c r="C176" s="163" t="s">
        <v>509</v>
      </c>
      <c r="D176" s="163" t="s">
        <v>696</v>
      </c>
      <c r="E176" s="169" t="s">
        <v>16</v>
      </c>
      <c r="F176" s="167">
        <f t="shared" si="58"/>
        <v>200000</v>
      </c>
      <c r="G176" s="167">
        <f t="shared" si="58"/>
        <v>200000</v>
      </c>
    </row>
    <row r="177" spans="1:8" ht="36" outlineLevel="7">
      <c r="A177" s="164" t="s">
        <v>17</v>
      </c>
      <c r="B177" s="163" t="s">
        <v>504</v>
      </c>
      <c r="C177" s="163" t="s">
        <v>509</v>
      </c>
      <c r="D177" s="163" t="s">
        <v>696</v>
      </c>
      <c r="E177" s="169" t="s">
        <v>18</v>
      </c>
      <c r="F177" s="167">
        <v>200000</v>
      </c>
      <c r="G177" s="167">
        <v>200000</v>
      </c>
    </row>
    <row r="178" spans="1:8" ht="20.25" customHeight="1" outlineLevel="7">
      <c r="A178" s="196" t="s">
        <v>119</v>
      </c>
      <c r="B178" s="197" t="s">
        <v>504</v>
      </c>
      <c r="C178" s="197" t="s">
        <v>46</v>
      </c>
      <c r="D178" s="197" t="s">
        <v>126</v>
      </c>
      <c r="E178" s="198" t="s">
        <v>6</v>
      </c>
      <c r="F178" s="171">
        <f>F196+F185+F208+F179</f>
        <v>14114514.17</v>
      </c>
      <c r="G178" s="171">
        <f>G196+G185+G208+G179</f>
        <v>18123514.169999998</v>
      </c>
    </row>
    <row r="179" spans="1:8" outlineLevel="7">
      <c r="A179" s="164" t="s">
        <v>121</v>
      </c>
      <c r="B179" s="163" t="s">
        <v>504</v>
      </c>
      <c r="C179" s="163" t="s">
        <v>122</v>
      </c>
      <c r="D179" s="163" t="s">
        <v>126</v>
      </c>
      <c r="E179" s="169" t="s">
        <v>6</v>
      </c>
      <c r="F179" s="167">
        <f t="shared" ref="F179:G179" si="59">F180</f>
        <v>324127.09000000003</v>
      </c>
      <c r="G179" s="167">
        <f t="shared" si="59"/>
        <v>324127.09000000003</v>
      </c>
    </row>
    <row r="180" spans="1:8" ht="36" outlineLevel="7">
      <c r="A180" s="196" t="s">
        <v>132</v>
      </c>
      <c r="B180" s="163" t="s">
        <v>504</v>
      </c>
      <c r="C180" s="197" t="s">
        <v>122</v>
      </c>
      <c r="D180" s="197" t="s">
        <v>127</v>
      </c>
      <c r="E180" s="198" t="s">
        <v>6</v>
      </c>
      <c r="F180" s="171">
        <f t="shared" ref="F180:G180" si="60">F182</f>
        <v>324127.09000000003</v>
      </c>
      <c r="G180" s="171">
        <f t="shared" si="60"/>
        <v>324127.09000000003</v>
      </c>
    </row>
    <row r="181" spans="1:8" s="266" customFormat="1" outlineLevel="7">
      <c r="A181" s="164" t="s">
        <v>277</v>
      </c>
      <c r="B181" s="163" t="s">
        <v>504</v>
      </c>
      <c r="C181" s="163" t="s">
        <v>122</v>
      </c>
      <c r="D181" s="163" t="s">
        <v>276</v>
      </c>
      <c r="E181" s="169" t="s">
        <v>6</v>
      </c>
      <c r="F181" s="167">
        <f t="shared" ref="F181:G183" si="61">F182</f>
        <v>324127.09000000003</v>
      </c>
      <c r="G181" s="167">
        <f t="shared" si="61"/>
        <v>324127.09000000003</v>
      </c>
      <c r="H181" s="265"/>
    </row>
    <row r="182" spans="1:8" ht="108" outlineLevel="7">
      <c r="A182" s="200" t="s">
        <v>383</v>
      </c>
      <c r="B182" s="163" t="s">
        <v>504</v>
      </c>
      <c r="C182" s="163" t="s">
        <v>122</v>
      </c>
      <c r="D182" s="163" t="s">
        <v>286</v>
      </c>
      <c r="E182" s="169" t="s">
        <v>6</v>
      </c>
      <c r="F182" s="167">
        <f t="shared" si="61"/>
        <v>324127.09000000003</v>
      </c>
      <c r="G182" s="167">
        <f t="shared" si="61"/>
        <v>324127.09000000003</v>
      </c>
    </row>
    <row r="183" spans="1:8" ht="36" outlineLevel="7">
      <c r="A183" s="164" t="s">
        <v>15</v>
      </c>
      <c r="B183" s="163" t="s">
        <v>504</v>
      </c>
      <c r="C183" s="163" t="s">
        <v>122</v>
      </c>
      <c r="D183" s="163" t="s">
        <v>286</v>
      </c>
      <c r="E183" s="169" t="s">
        <v>16</v>
      </c>
      <c r="F183" s="167">
        <f t="shared" si="61"/>
        <v>324127.09000000003</v>
      </c>
      <c r="G183" s="167">
        <f t="shared" si="61"/>
        <v>324127.09000000003</v>
      </c>
    </row>
    <row r="184" spans="1:8" ht="36" outlineLevel="7">
      <c r="A184" s="164" t="s">
        <v>17</v>
      </c>
      <c r="B184" s="163" t="s">
        <v>504</v>
      </c>
      <c r="C184" s="163" t="s">
        <v>122</v>
      </c>
      <c r="D184" s="163" t="s">
        <v>286</v>
      </c>
      <c r="E184" s="169" t="s">
        <v>18</v>
      </c>
      <c r="F184" s="167">
        <v>324127.09000000003</v>
      </c>
      <c r="G184" s="167">
        <v>324127.09000000003</v>
      </c>
    </row>
    <row r="185" spans="1:8" outlineLevel="7">
      <c r="A185" s="164" t="s">
        <v>290</v>
      </c>
      <c r="B185" s="163" t="s">
        <v>504</v>
      </c>
      <c r="C185" s="163" t="s">
        <v>291</v>
      </c>
      <c r="D185" s="163" t="s">
        <v>126</v>
      </c>
      <c r="E185" s="169" t="s">
        <v>6</v>
      </c>
      <c r="F185" s="167">
        <f>F186+F193</f>
        <v>103387.08</v>
      </c>
      <c r="G185" s="167">
        <f>G186+G193</f>
        <v>103387.08</v>
      </c>
    </row>
    <row r="186" spans="1:8" ht="36" outlineLevel="7">
      <c r="A186" s="164" t="s">
        <v>132</v>
      </c>
      <c r="B186" s="163" t="s">
        <v>504</v>
      </c>
      <c r="C186" s="163" t="s">
        <v>291</v>
      </c>
      <c r="D186" s="163" t="s">
        <v>127</v>
      </c>
      <c r="E186" s="169" t="s">
        <v>6</v>
      </c>
      <c r="F186" s="167">
        <f>F188</f>
        <v>3387.08</v>
      </c>
      <c r="G186" s="167">
        <f>G188</f>
        <v>3387.08</v>
      </c>
    </row>
    <row r="187" spans="1:8" ht="20.25" customHeight="1" outlineLevel="7">
      <c r="A187" s="164" t="s">
        <v>277</v>
      </c>
      <c r="B187" s="163" t="s">
        <v>504</v>
      </c>
      <c r="C187" s="163" t="s">
        <v>291</v>
      </c>
      <c r="D187" s="163" t="s">
        <v>276</v>
      </c>
      <c r="E187" s="169" t="s">
        <v>6</v>
      </c>
      <c r="F187" s="167">
        <f>F188</f>
        <v>3387.08</v>
      </c>
      <c r="G187" s="167">
        <f>G188</f>
        <v>3387.08</v>
      </c>
    </row>
    <row r="188" spans="1:8" ht="126" outlineLevel="7">
      <c r="A188" s="187" t="s">
        <v>385</v>
      </c>
      <c r="B188" s="163" t="s">
        <v>504</v>
      </c>
      <c r="C188" s="163" t="s">
        <v>291</v>
      </c>
      <c r="D188" s="163" t="s">
        <v>384</v>
      </c>
      <c r="E188" s="169" t="s">
        <v>6</v>
      </c>
      <c r="F188" s="167">
        <f t="shared" ref="F188:G189" si="62">F189</f>
        <v>3387.08</v>
      </c>
      <c r="G188" s="167">
        <f t="shared" si="62"/>
        <v>3387.08</v>
      </c>
    </row>
    <row r="189" spans="1:8" ht="36" outlineLevel="7">
      <c r="A189" s="164" t="s">
        <v>15</v>
      </c>
      <c r="B189" s="163" t="s">
        <v>504</v>
      </c>
      <c r="C189" s="163" t="s">
        <v>291</v>
      </c>
      <c r="D189" s="163" t="s">
        <v>384</v>
      </c>
      <c r="E189" s="169" t="s">
        <v>16</v>
      </c>
      <c r="F189" s="167">
        <f t="shared" si="62"/>
        <v>3387.08</v>
      </c>
      <c r="G189" s="167">
        <f t="shared" si="62"/>
        <v>3387.08</v>
      </c>
    </row>
    <row r="190" spans="1:8" s="266" customFormat="1" ht="36" outlineLevel="7">
      <c r="A190" s="164" t="s">
        <v>17</v>
      </c>
      <c r="B190" s="163" t="s">
        <v>504</v>
      </c>
      <c r="C190" s="163" t="s">
        <v>291</v>
      </c>
      <c r="D190" s="163" t="s">
        <v>384</v>
      </c>
      <c r="E190" s="169" t="s">
        <v>18</v>
      </c>
      <c r="F190" s="218">
        <v>3387.08</v>
      </c>
      <c r="G190" s="218">
        <v>3387.08</v>
      </c>
      <c r="H190" s="265"/>
    </row>
    <row r="191" spans="1:8" s="266" customFormat="1" ht="84.75" customHeight="1" outlineLevel="7">
      <c r="A191" s="254" t="s">
        <v>849</v>
      </c>
      <c r="B191" s="163" t="s">
        <v>504</v>
      </c>
      <c r="C191" s="163" t="s">
        <v>291</v>
      </c>
      <c r="D191" s="163" t="s">
        <v>320</v>
      </c>
      <c r="E191" s="169" t="s">
        <v>6</v>
      </c>
      <c r="F191" s="218">
        <f t="shared" ref="F191:G194" si="63">F192</f>
        <v>100000</v>
      </c>
      <c r="G191" s="218">
        <f t="shared" si="63"/>
        <v>100000</v>
      </c>
      <c r="H191" s="265"/>
    </row>
    <row r="192" spans="1:8" s="266" customFormat="1" ht="36" outlineLevel="7">
      <c r="A192" s="322" t="s">
        <v>831</v>
      </c>
      <c r="B192" s="163" t="s">
        <v>504</v>
      </c>
      <c r="C192" s="163" t="s">
        <v>291</v>
      </c>
      <c r="D192" s="163" t="s">
        <v>832</v>
      </c>
      <c r="E192" s="169" t="s">
        <v>6</v>
      </c>
      <c r="F192" s="218">
        <f t="shared" si="63"/>
        <v>100000</v>
      </c>
      <c r="G192" s="218">
        <f t="shared" si="63"/>
        <v>100000</v>
      </c>
      <c r="H192" s="265"/>
    </row>
    <row r="193" spans="1:8" s="266" customFormat="1" ht="108" outlineLevel="7">
      <c r="A193" s="239" t="s">
        <v>834</v>
      </c>
      <c r="B193" s="163" t="s">
        <v>504</v>
      </c>
      <c r="C193" s="163" t="s">
        <v>291</v>
      </c>
      <c r="D193" s="163" t="s">
        <v>833</v>
      </c>
      <c r="E193" s="169" t="s">
        <v>6</v>
      </c>
      <c r="F193" s="218">
        <f t="shared" si="63"/>
        <v>100000</v>
      </c>
      <c r="G193" s="218">
        <f t="shared" si="63"/>
        <v>100000</v>
      </c>
      <c r="H193" s="265"/>
    </row>
    <row r="194" spans="1:8" s="266" customFormat="1" ht="44.4" customHeight="1" outlineLevel="7">
      <c r="A194" s="322" t="s">
        <v>793</v>
      </c>
      <c r="B194" s="163" t="s">
        <v>504</v>
      </c>
      <c r="C194" s="163" t="s">
        <v>291</v>
      </c>
      <c r="D194" s="163" t="s">
        <v>833</v>
      </c>
      <c r="E194" s="169" t="s">
        <v>20</v>
      </c>
      <c r="F194" s="218">
        <f t="shared" si="63"/>
        <v>100000</v>
      </c>
      <c r="G194" s="218">
        <f t="shared" si="63"/>
        <v>100000</v>
      </c>
      <c r="H194" s="265"/>
    </row>
    <row r="195" spans="1:8" s="266" customFormat="1" ht="57.75" customHeight="1" outlineLevel="7">
      <c r="A195" s="164" t="s">
        <v>47</v>
      </c>
      <c r="B195" s="163" t="s">
        <v>504</v>
      </c>
      <c r="C195" s="163" t="s">
        <v>291</v>
      </c>
      <c r="D195" s="163" t="s">
        <v>833</v>
      </c>
      <c r="E195" s="169" t="s">
        <v>48</v>
      </c>
      <c r="F195" s="218">
        <v>100000</v>
      </c>
      <c r="G195" s="218">
        <v>100000</v>
      </c>
      <c r="H195" s="265"/>
    </row>
    <row r="196" spans="1:8" ht="36" customHeight="1" outlineLevel="7">
      <c r="A196" s="164" t="s">
        <v>49</v>
      </c>
      <c r="B196" s="163" t="s">
        <v>504</v>
      </c>
      <c r="C196" s="163" t="s">
        <v>50</v>
      </c>
      <c r="D196" s="163" t="s">
        <v>126</v>
      </c>
      <c r="E196" s="169" t="s">
        <v>6</v>
      </c>
      <c r="F196" s="167">
        <f>F197</f>
        <v>13157000</v>
      </c>
      <c r="G196" s="167">
        <f>G197</f>
        <v>14166000</v>
      </c>
    </row>
    <row r="197" spans="1:8" ht="72" outlineLevel="7">
      <c r="A197" s="196" t="s">
        <v>879</v>
      </c>
      <c r="B197" s="197" t="s">
        <v>504</v>
      </c>
      <c r="C197" s="197" t="s">
        <v>50</v>
      </c>
      <c r="D197" s="197" t="s">
        <v>335</v>
      </c>
      <c r="E197" s="198" t="s">
        <v>6</v>
      </c>
      <c r="F197" s="171">
        <f t="shared" ref="F197:G197" si="64">F198</f>
        <v>13157000</v>
      </c>
      <c r="G197" s="171">
        <f t="shared" si="64"/>
        <v>14166000</v>
      </c>
    </row>
    <row r="198" spans="1:8" ht="44.4" customHeight="1" outlineLevel="7">
      <c r="A198" s="164" t="s">
        <v>336</v>
      </c>
      <c r="B198" s="163" t="s">
        <v>504</v>
      </c>
      <c r="C198" s="163" t="s">
        <v>50</v>
      </c>
      <c r="D198" s="163" t="s">
        <v>337</v>
      </c>
      <c r="E198" s="169" t="s">
        <v>6</v>
      </c>
      <c r="F198" s="167">
        <f>F199+F205</f>
        <v>13157000</v>
      </c>
      <c r="G198" s="167">
        <f>G199+G205</f>
        <v>14166000</v>
      </c>
    </row>
    <row r="199" spans="1:8" ht="72" outlineLevel="7">
      <c r="A199" s="206" t="s">
        <v>815</v>
      </c>
      <c r="B199" s="163" t="s">
        <v>504</v>
      </c>
      <c r="C199" s="163" t="s">
        <v>50</v>
      </c>
      <c r="D199" s="163" t="s">
        <v>339</v>
      </c>
      <c r="E199" s="169" t="s">
        <v>6</v>
      </c>
      <c r="F199" s="167">
        <f t="shared" ref="F199:G200" si="65">F200</f>
        <v>13057000</v>
      </c>
      <c r="G199" s="167">
        <f t="shared" si="65"/>
        <v>14066000</v>
      </c>
    </row>
    <row r="200" spans="1:8" s="266" customFormat="1" ht="36" outlineLevel="7">
      <c r="A200" s="164" t="s">
        <v>15</v>
      </c>
      <c r="B200" s="163" t="s">
        <v>504</v>
      </c>
      <c r="C200" s="163" t="s">
        <v>50</v>
      </c>
      <c r="D200" s="163" t="s">
        <v>339</v>
      </c>
      <c r="E200" s="169" t="s">
        <v>16</v>
      </c>
      <c r="F200" s="167">
        <f t="shared" si="65"/>
        <v>13057000</v>
      </c>
      <c r="G200" s="167">
        <f t="shared" si="65"/>
        <v>14066000</v>
      </c>
      <c r="H200" s="265"/>
    </row>
    <row r="201" spans="1:8" ht="26.4" customHeight="1" outlineLevel="7">
      <c r="A201" s="164" t="s">
        <v>17</v>
      </c>
      <c r="B201" s="163" t="s">
        <v>504</v>
      </c>
      <c r="C201" s="163" t="s">
        <v>50</v>
      </c>
      <c r="D201" s="163" t="s">
        <v>339</v>
      </c>
      <c r="E201" s="169" t="s">
        <v>18</v>
      </c>
      <c r="F201" s="167">
        <f>13057000</f>
        <v>13057000</v>
      </c>
      <c r="G201" s="167">
        <f>14066000</f>
        <v>14066000</v>
      </c>
    </row>
    <row r="202" spans="1:8" ht="90" hidden="1" outlineLevel="7">
      <c r="A202" s="164" t="s">
        <v>571</v>
      </c>
      <c r="B202" s="163" t="s">
        <v>504</v>
      </c>
      <c r="C202" s="163" t="s">
        <v>50</v>
      </c>
      <c r="D202" s="163" t="s">
        <v>597</v>
      </c>
      <c r="E202" s="163" t="s">
        <v>6</v>
      </c>
      <c r="F202" s="167">
        <f t="shared" ref="F202:G203" si="66">F203</f>
        <v>0</v>
      </c>
      <c r="G202" s="167">
        <f t="shared" si="66"/>
        <v>0</v>
      </c>
    </row>
    <row r="203" spans="1:8" ht="36" hidden="1" outlineLevel="7">
      <c r="A203" s="164" t="s">
        <v>15</v>
      </c>
      <c r="B203" s="163" t="s">
        <v>504</v>
      </c>
      <c r="C203" s="163" t="s">
        <v>50</v>
      </c>
      <c r="D203" s="163" t="s">
        <v>597</v>
      </c>
      <c r="E203" s="163" t="s">
        <v>16</v>
      </c>
      <c r="F203" s="167">
        <f t="shared" si="66"/>
        <v>0</v>
      </c>
      <c r="G203" s="167">
        <f t="shared" si="66"/>
        <v>0</v>
      </c>
    </row>
    <row r="204" spans="1:8" ht="21.75" hidden="1" customHeight="1" outlineLevel="7">
      <c r="A204" s="164" t="s">
        <v>17</v>
      </c>
      <c r="B204" s="163" t="s">
        <v>504</v>
      </c>
      <c r="C204" s="163" t="s">
        <v>50</v>
      </c>
      <c r="D204" s="163" t="s">
        <v>597</v>
      </c>
      <c r="E204" s="163" t="s">
        <v>18</v>
      </c>
      <c r="F204" s="167">
        <v>0</v>
      </c>
      <c r="G204" s="167">
        <v>0</v>
      </c>
    </row>
    <row r="205" spans="1:8" ht="54" outlineLevel="7">
      <c r="A205" s="164" t="s">
        <v>280</v>
      </c>
      <c r="B205" s="163" t="s">
        <v>504</v>
      </c>
      <c r="C205" s="163" t="s">
        <v>50</v>
      </c>
      <c r="D205" s="163" t="s">
        <v>409</v>
      </c>
      <c r="E205" s="169" t="s">
        <v>6</v>
      </c>
      <c r="F205" s="184">
        <f t="shared" ref="F205:G206" si="67">F206</f>
        <v>100000</v>
      </c>
      <c r="G205" s="184">
        <f t="shared" si="67"/>
        <v>100000</v>
      </c>
    </row>
    <row r="206" spans="1:8" ht="36" outlineLevel="7">
      <c r="A206" s="164" t="s">
        <v>15</v>
      </c>
      <c r="B206" s="163" t="s">
        <v>504</v>
      </c>
      <c r="C206" s="163" t="s">
        <v>50</v>
      </c>
      <c r="D206" s="163" t="s">
        <v>409</v>
      </c>
      <c r="E206" s="169" t="s">
        <v>16</v>
      </c>
      <c r="F206" s="184">
        <f t="shared" si="67"/>
        <v>100000</v>
      </c>
      <c r="G206" s="184">
        <f t="shared" si="67"/>
        <v>100000</v>
      </c>
    </row>
    <row r="207" spans="1:8" ht="36" outlineLevel="7">
      <c r="A207" s="164" t="s">
        <v>17</v>
      </c>
      <c r="B207" s="163" t="s">
        <v>504</v>
      </c>
      <c r="C207" s="163" t="s">
        <v>50</v>
      </c>
      <c r="D207" s="163" t="s">
        <v>409</v>
      </c>
      <c r="E207" s="169" t="s">
        <v>18</v>
      </c>
      <c r="F207" s="167">
        <v>100000</v>
      </c>
      <c r="G207" s="167">
        <v>100000</v>
      </c>
    </row>
    <row r="208" spans="1:8" outlineLevel="7">
      <c r="A208" s="164" t="s">
        <v>52</v>
      </c>
      <c r="B208" s="163" t="s">
        <v>504</v>
      </c>
      <c r="C208" s="163" t="s">
        <v>53</v>
      </c>
      <c r="D208" s="163" t="s">
        <v>126</v>
      </c>
      <c r="E208" s="169" t="s">
        <v>6</v>
      </c>
      <c r="F208" s="167">
        <f>F209+F214</f>
        <v>530000</v>
      </c>
      <c r="G208" s="167">
        <f>G209+G214</f>
        <v>3530000</v>
      </c>
    </row>
    <row r="209" spans="1:8" ht="57.15" customHeight="1" outlineLevel="7">
      <c r="A209" s="196" t="s">
        <v>878</v>
      </c>
      <c r="B209" s="197" t="s">
        <v>504</v>
      </c>
      <c r="C209" s="197" t="s">
        <v>53</v>
      </c>
      <c r="D209" s="197" t="s">
        <v>412</v>
      </c>
      <c r="E209" s="197" t="s">
        <v>6</v>
      </c>
      <c r="F209" s="167">
        <f>F210</f>
        <v>100000</v>
      </c>
      <c r="G209" s="167">
        <f>G210</f>
        <v>100000</v>
      </c>
    </row>
    <row r="210" spans="1:8" ht="36" outlineLevel="7">
      <c r="A210" s="164" t="s">
        <v>801</v>
      </c>
      <c r="B210" s="163" t="s">
        <v>504</v>
      </c>
      <c r="C210" s="163" t="s">
        <v>53</v>
      </c>
      <c r="D210" s="163" t="s">
        <v>414</v>
      </c>
      <c r="E210" s="163" t="s">
        <v>6</v>
      </c>
      <c r="F210" s="167">
        <f t="shared" ref="F210:G212" si="68">F211</f>
        <v>100000</v>
      </c>
      <c r="G210" s="167">
        <f t="shared" si="68"/>
        <v>100000</v>
      </c>
    </row>
    <row r="211" spans="1:8" ht="99.75" customHeight="1" outlineLevel="7">
      <c r="A211" s="164" t="s">
        <v>802</v>
      </c>
      <c r="B211" s="163" t="s">
        <v>504</v>
      </c>
      <c r="C211" s="163" t="s">
        <v>53</v>
      </c>
      <c r="D211" s="163" t="s">
        <v>803</v>
      </c>
      <c r="E211" s="163" t="s">
        <v>6</v>
      </c>
      <c r="F211" s="167">
        <f t="shared" si="68"/>
        <v>100000</v>
      </c>
      <c r="G211" s="167">
        <f t="shared" si="68"/>
        <v>100000</v>
      </c>
    </row>
    <row r="212" spans="1:8" outlineLevel="2">
      <c r="A212" s="164" t="s">
        <v>19</v>
      </c>
      <c r="B212" s="163" t="s">
        <v>504</v>
      </c>
      <c r="C212" s="163" t="s">
        <v>53</v>
      </c>
      <c r="D212" s="163" t="s">
        <v>803</v>
      </c>
      <c r="E212" s="163" t="s">
        <v>20</v>
      </c>
      <c r="F212" s="167">
        <f t="shared" si="68"/>
        <v>100000</v>
      </c>
      <c r="G212" s="167">
        <f t="shared" si="68"/>
        <v>100000</v>
      </c>
    </row>
    <row r="213" spans="1:8" ht="54" outlineLevel="2">
      <c r="A213" s="164" t="s">
        <v>47</v>
      </c>
      <c r="B213" s="163" t="s">
        <v>504</v>
      </c>
      <c r="C213" s="163" t="s">
        <v>53</v>
      </c>
      <c r="D213" s="163" t="s">
        <v>803</v>
      </c>
      <c r="E213" s="163" t="s">
        <v>48</v>
      </c>
      <c r="F213" s="167">
        <v>100000</v>
      </c>
      <c r="G213" s="167">
        <v>100000</v>
      </c>
    </row>
    <row r="214" spans="1:8" ht="76.650000000000006" customHeight="1" outlineLevel="2">
      <c r="A214" s="196" t="s">
        <v>877</v>
      </c>
      <c r="B214" s="197" t="s">
        <v>504</v>
      </c>
      <c r="C214" s="197" t="s">
        <v>53</v>
      </c>
      <c r="D214" s="197" t="s">
        <v>340</v>
      </c>
      <c r="E214" s="198" t="s">
        <v>6</v>
      </c>
      <c r="F214" s="171">
        <f>F215+F219</f>
        <v>430000</v>
      </c>
      <c r="G214" s="171">
        <f>G215+G219</f>
        <v>3430000</v>
      </c>
    </row>
    <row r="215" spans="1:8" ht="36" outlineLevel="2">
      <c r="A215" s="164" t="s">
        <v>386</v>
      </c>
      <c r="B215" s="163" t="s">
        <v>504</v>
      </c>
      <c r="C215" s="163" t="s">
        <v>53</v>
      </c>
      <c r="D215" s="163" t="s">
        <v>341</v>
      </c>
      <c r="E215" s="169" t="s">
        <v>6</v>
      </c>
      <c r="F215" s="184">
        <f>F216</f>
        <v>300000</v>
      </c>
      <c r="G215" s="184">
        <f>G216</f>
        <v>3300000</v>
      </c>
    </row>
    <row r="216" spans="1:8" ht="36" outlineLevel="2">
      <c r="A216" s="164" t="s">
        <v>342</v>
      </c>
      <c r="B216" s="163" t="s">
        <v>504</v>
      </c>
      <c r="C216" s="163" t="s">
        <v>53</v>
      </c>
      <c r="D216" s="163" t="s">
        <v>343</v>
      </c>
      <c r="E216" s="169" t="s">
        <v>6</v>
      </c>
      <c r="F216" s="184">
        <f t="shared" ref="F216:G217" si="69">F217</f>
        <v>300000</v>
      </c>
      <c r="G216" s="184">
        <f t="shared" si="69"/>
        <v>3300000</v>
      </c>
    </row>
    <row r="217" spans="1:8" s="266" customFormat="1" ht="36" outlineLevel="3">
      <c r="A217" s="164" t="s">
        <v>15</v>
      </c>
      <c r="B217" s="163" t="s">
        <v>504</v>
      </c>
      <c r="C217" s="163" t="s">
        <v>53</v>
      </c>
      <c r="D217" s="163" t="s">
        <v>343</v>
      </c>
      <c r="E217" s="169" t="s">
        <v>16</v>
      </c>
      <c r="F217" s="184">
        <f t="shared" si="69"/>
        <v>300000</v>
      </c>
      <c r="G217" s="184">
        <f t="shared" si="69"/>
        <v>3300000</v>
      </c>
      <c r="H217" s="265"/>
    </row>
    <row r="218" spans="1:8" ht="36" outlineLevel="3">
      <c r="A218" s="164" t="s">
        <v>17</v>
      </c>
      <c r="B218" s="163" t="s">
        <v>504</v>
      </c>
      <c r="C218" s="163" t="s">
        <v>53</v>
      </c>
      <c r="D218" s="163" t="s">
        <v>343</v>
      </c>
      <c r="E218" s="169" t="s">
        <v>18</v>
      </c>
      <c r="F218" s="167">
        <v>300000</v>
      </c>
      <c r="G218" s="167">
        <v>3300000</v>
      </c>
    </row>
    <row r="219" spans="1:8" ht="36" outlineLevel="3">
      <c r="A219" s="200" t="s">
        <v>388</v>
      </c>
      <c r="B219" s="163" t="s">
        <v>504</v>
      </c>
      <c r="C219" s="163" t="s">
        <v>53</v>
      </c>
      <c r="D219" s="163" t="s">
        <v>387</v>
      </c>
      <c r="E219" s="169" t="s">
        <v>6</v>
      </c>
      <c r="F219" s="167">
        <f>F220</f>
        <v>130000</v>
      </c>
      <c r="G219" s="167">
        <f>G220</f>
        <v>130000</v>
      </c>
    </row>
    <row r="220" spans="1:8" ht="36" outlineLevel="3">
      <c r="A220" s="164" t="s">
        <v>344</v>
      </c>
      <c r="B220" s="163" t="s">
        <v>504</v>
      </c>
      <c r="C220" s="163" t="s">
        <v>53</v>
      </c>
      <c r="D220" s="163" t="s">
        <v>439</v>
      </c>
      <c r="E220" s="169" t="s">
        <v>6</v>
      </c>
      <c r="F220" s="167">
        <f t="shared" ref="F220:G221" si="70">F221</f>
        <v>130000</v>
      </c>
      <c r="G220" s="167">
        <f t="shared" si="70"/>
        <v>130000</v>
      </c>
    </row>
    <row r="221" spans="1:8" ht="18.75" customHeight="1" outlineLevel="3">
      <c r="A221" s="164" t="s">
        <v>15</v>
      </c>
      <c r="B221" s="163" t="s">
        <v>504</v>
      </c>
      <c r="C221" s="163" t="s">
        <v>53</v>
      </c>
      <c r="D221" s="163" t="s">
        <v>439</v>
      </c>
      <c r="E221" s="169" t="s">
        <v>16</v>
      </c>
      <c r="F221" s="167">
        <f t="shared" si="70"/>
        <v>130000</v>
      </c>
      <c r="G221" s="167">
        <f t="shared" si="70"/>
        <v>130000</v>
      </c>
    </row>
    <row r="222" spans="1:8" ht="19.5" customHeight="1" outlineLevel="3">
      <c r="A222" s="164" t="s">
        <v>17</v>
      </c>
      <c r="B222" s="163" t="s">
        <v>504</v>
      </c>
      <c r="C222" s="163" t="s">
        <v>53</v>
      </c>
      <c r="D222" s="163" t="s">
        <v>439</v>
      </c>
      <c r="E222" s="169" t="s">
        <v>18</v>
      </c>
      <c r="F222" s="167">
        <v>130000</v>
      </c>
      <c r="G222" s="167">
        <v>130000</v>
      </c>
    </row>
    <row r="223" spans="1:8" outlineLevel="5">
      <c r="A223" s="196" t="s">
        <v>54</v>
      </c>
      <c r="B223" s="197" t="s">
        <v>504</v>
      </c>
      <c r="C223" s="197" t="s">
        <v>55</v>
      </c>
      <c r="D223" s="197" t="s">
        <v>126</v>
      </c>
      <c r="E223" s="198" t="s">
        <v>6</v>
      </c>
      <c r="F223" s="219">
        <f>F224+F235+F267+F313</f>
        <v>48574076.269999996</v>
      </c>
      <c r="G223" s="219">
        <f>G224+G235+G267+G313</f>
        <v>42109227.806999996</v>
      </c>
    </row>
    <row r="224" spans="1:8" outlineLevel="6">
      <c r="A224" s="164" t="s">
        <v>56</v>
      </c>
      <c r="B224" s="163" t="s">
        <v>504</v>
      </c>
      <c r="C224" s="163" t="s">
        <v>57</v>
      </c>
      <c r="D224" s="163" t="s">
        <v>126</v>
      </c>
      <c r="E224" s="169" t="s">
        <v>6</v>
      </c>
      <c r="F224" s="167">
        <f>F225+F231</f>
        <v>2500000</v>
      </c>
      <c r="G224" s="167">
        <f>G225+G231</f>
        <v>2500000</v>
      </c>
    </row>
    <row r="225" spans="1:8" ht="68.25" customHeight="1" outlineLevel="7">
      <c r="A225" s="196" t="s">
        <v>876</v>
      </c>
      <c r="B225" s="197" t="s">
        <v>504</v>
      </c>
      <c r="C225" s="197" t="s">
        <v>57</v>
      </c>
      <c r="D225" s="197" t="s">
        <v>331</v>
      </c>
      <c r="E225" s="198" t="s">
        <v>6</v>
      </c>
      <c r="F225" s="171">
        <f>F226</f>
        <v>2500000</v>
      </c>
      <c r="G225" s="171">
        <f>G226</f>
        <v>2500000</v>
      </c>
    </row>
    <row r="226" spans="1:8" s="266" customFormat="1" ht="36" outlineLevel="1">
      <c r="A226" s="164" t="s">
        <v>345</v>
      </c>
      <c r="B226" s="163" t="s">
        <v>504</v>
      </c>
      <c r="C226" s="163" t="s">
        <v>57</v>
      </c>
      <c r="D226" s="163" t="s">
        <v>332</v>
      </c>
      <c r="E226" s="169" t="s">
        <v>6</v>
      </c>
      <c r="F226" s="167">
        <f t="shared" ref="F226:G228" si="71">F227</f>
        <v>2500000</v>
      </c>
      <c r="G226" s="167">
        <f t="shared" si="71"/>
        <v>2500000</v>
      </c>
      <c r="H226" s="265"/>
    </row>
    <row r="227" spans="1:8" ht="36" outlineLevel="1">
      <c r="A227" s="164" t="s">
        <v>346</v>
      </c>
      <c r="B227" s="163" t="s">
        <v>504</v>
      </c>
      <c r="C227" s="163" t="s">
        <v>57</v>
      </c>
      <c r="D227" s="163" t="s">
        <v>347</v>
      </c>
      <c r="E227" s="169" t="s">
        <v>6</v>
      </c>
      <c r="F227" s="167">
        <f t="shared" si="71"/>
        <v>2500000</v>
      </c>
      <c r="G227" s="167">
        <f t="shared" si="71"/>
        <v>2500000</v>
      </c>
    </row>
    <row r="228" spans="1:8" s="266" customFormat="1" ht="36" outlineLevel="1">
      <c r="A228" s="164" t="s">
        <v>15</v>
      </c>
      <c r="B228" s="163" t="s">
        <v>504</v>
      </c>
      <c r="C228" s="163" t="s">
        <v>57</v>
      </c>
      <c r="D228" s="163" t="s">
        <v>347</v>
      </c>
      <c r="E228" s="169" t="s">
        <v>16</v>
      </c>
      <c r="F228" s="167">
        <f t="shared" si="71"/>
        <v>2500000</v>
      </c>
      <c r="G228" s="167">
        <f t="shared" si="71"/>
        <v>2500000</v>
      </c>
      <c r="H228" s="265"/>
    </row>
    <row r="229" spans="1:8" ht="51" customHeight="1" outlineLevel="1">
      <c r="A229" s="164" t="s">
        <v>17</v>
      </c>
      <c r="B229" s="163" t="s">
        <v>504</v>
      </c>
      <c r="C229" s="163" t="s">
        <v>57</v>
      </c>
      <c r="D229" s="163" t="s">
        <v>347</v>
      </c>
      <c r="E229" s="169" t="s">
        <v>18</v>
      </c>
      <c r="F229" s="184">
        <v>2500000</v>
      </c>
      <c r="G229" s="184">
        <v>2500000</v>
      </c>
    </row>
    <row r="230" spans="1:8" ht="36" hidden="1" outlineLevel="5">
      <c r="A230" s="164" t="s">
        <v>132</v>
      </c>
      <c r="B230" s="163" t="s">
        <v>504</v>
      </c>
      <c r="C230" s="163" t="s">
        <v>57</v>
      </c>
      <c r="D230" s="163" t="s">
        <v>127</v>
      </c>
      <c r="E230" s="169" t="s">
        <v>6</v>
      </c>
      <c r="F230" s="167">
        <f t="shared" ref="F230:G233" si="72">F231</f>
        <v>0</v>
      </c>
      <c r="G230" s="167">
        <f t="shared" si="72"/>
        <v>0</v>
      </c>
    </row>
    <row r="231" spans="1:8" hidden="1" outlineLevel="6">
      <c r="A231" s="164" t="s">
        <v>277</v>
      </c>
      <c r="B231" s="163" t="s">
        <v>504</v>
      </c>
      <c r="C231" s="163" t="s">
        <v>57</v>
      </c>
      <c r="D231" s="163" t="s">
        <v>276</v>
      </c>
      <c r="E231" s="169" t="s">
        <v>6</v>
      </c>
      <c r="F231" s="167">
        <f t="shared" si="72"/>
        <v>0</v>
      </c>
      <c r="G231" s="167">
        <f t="shared" si="72"/>
        <v>0</v>
      </c>
    </row>
    <row r="232" spans="1:8" ht="18" hidden="1" customHeight="1" outlineLevel="7">
      <c r="A232" s="187" t="s">
        <v>381</v>
      </c>
      <c r="B232" s="163" t="s">
        <v>504</v>
      </c>
      <c r="C232" s="163" t="s">
        <v>57</v>
      </c>
      <c r="D232" s="163" t="s">
        <v>511</v>
      </c>
      <c r="E232" s="169" t="s">
        <v>6</v>
      </c>
      <c r="F232" s="167">
        <f t="shared" si="72"/>
        <v>0</v>
      </c>
      <c r="G232" s="167">
        <f t="shared" si="72"/>
        <v>0</v>
      </c>
    </row>
    <row r="233" spans="1:8" ht="19.5" hidden="1" customHeight="1" outlineLevel="7">
      <c r="A233" s="164" t="s">
        <v>15</v>
      </c>
      <c r="B233" s="163" t="s">
        <v>504</v>
      </c>
      <c r="C233" s="163" t="s">
        <v>57</v>
      </c>
      <c r="D233" s="163" t="s">
        <v>511</v>
      </c>
      <c r="E233" s="169" t="s">
        <v>16</v>
      </c>
      <c r="F233" s="167">
        <f t="shared" si="72"/>
        <v>0</v>
      </c>
      <c r="G233" s="167">
        <f t="shared" si="72"/>
        <v>0</v>
      </c>
    </row>
    <row r="234" spans="1:8" ht="19.5" hidden="1" customHeight="1" outlineLevel="7">
      <c r="A234" s="164" t="s">
        <v>17</v>
      </c>
      <c r="B234" s="163" t="s">
        <v>504</v>
      </c>
      <c r="C234" s="163" t="s">
        <v>57</v>
      </c>
      <c r="D234" s="163" t="s">
        <v>511</v>
      </c>
      <c r="E234" s="169" t="s">
        <v>18</v>
      </c>
      <c r="F234" s="184">
        <v>0</v>
      </c>
      <c r="G234" s="184">
        <v>0</v>
      </c>
    </row>
    <row r="235" spans="1:8" ht="19.5" customHeight="1" outlineLevel="7">
      <c r="A235" s="164" t="s">
        <v>58</v>
      </c>
      <c r="B235" s="163" t="s">
        <v>504</v>
      </c>
      <c r="C235" s="163" t="s">
        <v>59</v>
      </c>
      <c r="D235" s="163" t="s">
        <v>126</v>
      </c>
      <c r="E235" s="169" t="s">
        <v>6</v>
      </c>
      <c r="F235" s="167">
        <f t="shared" ref="F235:G235" si="73">F236</f>
        <v>15200000</v>
      </c>
      <c r="G235" s="167">
        <f t="shared" si="73"/>
        <v>11700000</v>
      </c>
    </row>
    <row r="236" spans="1:8" ht="72" outlineLevel="7">
      <c r="A236" s="196" t="s">
        <v>874</v>
      </c>
      <c r="B236" s="197" t="s">
        <v>504</v>
      </c>
      <c r="C236" s="197" t="s">
        <v>59</v>
      </c>
      <c r="D236" s="197" t="s">
        <v>134</v>
      </c>
      <c r="E236" s="198" t="s">
        <v>6</v>
      </c>
      <c r="F236" s="171">
        <f>F237</f>
        <v>15200000</v>
      </c>
      <c r="G236" s="171">
        <f>G237</f>
        <v>11700000</v>
      </c>
    </row>
    <row r="237" spans="1:8" ht="54" outlineLevel="7">
      <c r="A237" s="164" t="s">
        <v>875</v>
      </c>
      <c r="B237" s="163" t="s">
        <v>504</v>
      </c>
      <c r="C237" s="163" t="s">
        <v>59</v>
      </c>
      <c r="D237" s="163" t="s">
        <v>350</v>
      </c>
      <c r="E237" s="169" t="s">
        <v>6</v>
      </c>
      <c r="F237" s="167">
        <f>F238+F245+F248+F254+F251</f>
        <v>15200000</v>
      </c>
      <c r="G237" s="167">
        <f>G238+G245+G248+G254+G251</f>
        <v>11700000</v>
      </c>
    </row>
    <row r="238" spans="1:8" ht="90" outlineLevel="1">
      <c r="A238" s="164" t="s">
        <v>60</v>
      </c>
      <c r="B238" s="163" t="s">
        <v>504</v>
      </c>
      <c r="C238" s="163" t="s">
        <v>59</v>
      </c>
      <c r="D238" s="163" t="s">
        <v>351</v>
      </c>
      <c r="E238" s="169" t="s">
        <v>6</v>
      </c>
      <c r="F238" s="167">
        <f>F239+F241+F243</f>
        <v>7500000</v>
      </c>
      <c r="G238" s="167">
        <f>G239+G241+G243</f>
        <v>6500000</v>
      </c>
    </row>
    <row r="239" spans="1:8" s="266" customFormat="1" ht="36" outlineLevel="1">
      <c r="A239" s="164" t="s">
        <v>15</v>
      </c>
      <c r="B239" s="163" t="s">
        <v>504</v>
      </c>
      <c r="C239" s="163" t="s">
        <v>59</v>
      </c>
      <c r="D239" s="163" t="s">
        <v>351</v>
      </c>
      <c r="E239" s="169" t="s">
        <v>16</v>
      </c>
      <c r="F239" s="167">
        <f t="shared" ref="F239:G239" si="74">F240</f>
        <v>2500000</v>
      </c>
      <c r="G239" s="167">
        <f t="shared" si="74"/>
        <v>1500000</v>
      </c>
      <c r="H239" s="265"/>
    </row>
    <row r="240" spans="1:8" ht="54.75" customHeight="1" outlineLevel="1">
      <c r="A240" s="164" t="s">
        <v>17</v>
      </c>
      <c r="B240" s="163" t="s">
        <v>504</v>
      </c>
      <c r="C240" s="163" t="s">
        <v>59</v>
      </c>
      <c r="D240" s="163" t="s">
        <v>351</v>
      </c>
      <c r="E240" s="169" t="s">
        <v>18</v>
      </c>
      <c r="F240" s="184">
        <v>2500000</v>
      </c>
      <c r="G240" s="184">
        <v>1500000</v>
      </c>
    </row>
    <row r="241" spans="1:7" ht="54" hidden="1" outlineLevel="1">
      <c r="A241" s="164" t="s">
        <v>264</v>
      </c>
      <c r="B241" s="163" t="s">
        <v>504</v>
      </c>
      <c r="C241" s="163" t="s">
        <v>59</v>
      </c>
      <c r="D241" s="163" t="s">
        <v>351</v>
      </c>
      <c r="E241" s="163" t="s">
        <v>265</v>
      </c>
      <c r="F241" s="184">
        <f>F242</f>
        <v>0</v>
      </c>
      <c r="G241" s="184">
        <f>G242</f>
        <v>0</v>
      </c>
    </row>
    <row r="242" spans="1:7" hidden="1" outlineLevel="1">
      <c r="A242" s="164" t="s">
        <v>266</v>
      </c>
      <c r="B242" s="163" t="s">
        <v>504</v>
      </c>
      <c r="C242" s="163" t="s">
        <v>59</v>
      </c>
      <c r="D242" s="163" t="s">
        <v>351</v>
      </c>
      <c r="E242" s="163" t="s">
        <v>267</v>
      </c>
      <c r="F242" s="184">
        <f>потребность!I246</f>
        <v>0</v>
      </c>
      <c r="G242" s="184">
        <f>потребность!J246</f>
        <v>0</v>
      </c>
    </row>
    <row r="243" spans="1:7" ht="24.75" customHeight="1" outlineLevel="1">
      <c r="A243" s="164" t="s">
        <v>19</v>
      </c>
      <c r="B243" s="163" t="s">
        <v>504</v>
      </c>
      <c r="C243" s="163" t="s">
        <v>59</v>
      </c>
      <c r="D243" s="163" t="s">
        <v>351</v>
      </c>
      <c r="E243" s="163" t="s">
        <v>20</v>
      </c>
      <c r="F243" s="184">
        <f>F244</f>
        <v>5000000</v>
      </c>
      <c r="G243" s="184">
        <f>G244</f>
        <v>5000000</v>
      </c>
    </row>
    <row r="244" spans="1:7" ht="21.15" customHeight="1" outlineLevel="1">
      <c r="A244" s="164" t="s">
        <v>47</v>
      </c>
      <c r="B244" s="163" t="s">
        <v>504</v>
      </c>
      <c r="C244" s="163" t="s">
        <v>59</v>
      </c>
      <c r="D244" s="163" t="s">
        <v>351</v>
      </c>
      <c r="E244" s="163" t="s">
        <v>48</v>
      </c>
      <c r="F244" s="184">
        <v>5000000</v>
      </c>
      <c r="G244" s="184">
        <v>5000000</v>
      </c>
    </row>
    <row r="245" spans="1:7" ht="64.5" customHeight="1" outlineLevel="1">
      <c r="A245" s="164" t="s">
        <v>250</v>
      </c>
      <c r="B245" s="163" t="s">
        <v>504</v>
      </c>
      <c r="C245" s="163" t="s">
        <v>59</v>
      </c>
      <c r="D245" s="163" t="s">
        <v>352</v>
      </c>
      <c r="E245" s="169" t="s">
        <v>6</v>
      </c>
      <c r="F245" s="184">
        <f t="shared" ref="F245:G246" si="75">F246</f>
        <v>5000000</v>
      </c>
      <c r="G245" s="184">
        <f t="shared" si="75"/>
        <v>5000000</v>
      </c>
    </row>
    <row r="246" spans="1:7" ht="21.15" customHeight="1" outlineLevel="1">
      <c r="A246" s="164" t="s">
        <v>19</v>
      </c>
      <c r="B246" s="163" t="s">
        <v>504</v>
      </c>
      <c r="C246" s="163" t="s">
        <v>59</v>
      </c>
      <c r="D246" s="163" t="s">
        <v>352</v>
      </c>
      <c r="E246" s="169" t="s">
        <v>20</v>
      </c>
      <c r="F246" s="184">
        <f t="shared" si="75"/>
        <v>5000000</v>
      </c>
      <c r="G246" s="184">
        <f t="shared" si="75"/>
        <v>5000000</v>
      </c>
    </row>
    <row r="247" spans="1:7" ht="55.5" customHeight="1" outlineLevel="1">
      <c r="A247" s="164" t="s">
        <v>47</v>
      </c>
      <c r="B247" s="163" t="s">
        <v>504</v>
      </c>
      <c r="C247" s="163" t="s">
        <v>59</v>
      </c>
      <c r="D247" s="163" t="s">
        <v>352</v>
      </c>
      <c r="E247" s="169" t="s">
        <v>48</v>
      </c>
      <c r="F247" s="167">
        <v>5000000</v>
      </c>
      <c r="G247" s="167">
        <v>5000000</v>
      </c>
    </row>
    <row r="248" spans="1:7" ht="0.75" customHeight="1" outlineLevel="1">
      <c r="A248" s="164" t="s">
        <v>262</v>
      </c>
      <c r="B248" s="163" t="s">
        <v>504</v>
      </c>
      <c r="C248" s="163" t="s">
        <v>59</v>
      </c>
      <c r="D248" s="163" t="s">
        <v>353</v>
      </c>
      <c r="E248" s="169" t="s">
        <v>6</v>
      </c>
      <c r="F248" s="184">
        <f t="shared" ref="F248:G249" si="76">F249</f>
        <v>2500000</v>
      </c>
      <c r="G248" s="184">
        <f t="shared" si="76"/>
        <v>0</v>
      </c>
    </row>
    <row r="249" spans="1:7" outlineLevel="1">
      <c r="A249" s="164" t="s">
        <v>19</v>
      </c>
      <c r="B249" s="163" t="s">
        <v>504</v>
      </c>
      <c r="C249" s="163" t="s">
        <v>59</v>
      </c>
      <c r="D249" s="163" t="s">
        <v>353</v>
      </c>
      <c r="E249" s="169" t="s">
        <v>20</v>
      </c>
      <c r="F249" s="184">
        <f t="shared" si="76"/>
        <v>2500000</v>
      </c>
      <c r="G249" s="184">
        <f t="shared" si="76"/>
        <v>0</v>
      </c>
    </row>
    <row r="250" spans="1:7" ht="53.4" customHeight="1" outlineLevel="1">
      <c r="A250" s="164" t="s">
        <v>47</v>
      </c>
      <c r="B250" s="163" t="s">
        <v>504</v>
      </c>
      <c r="C250" s="163" t="s">
        <v>59</v>
      </c>
      <c r="D250" s="163" t="s">
        <v>353</v>
      </c>
      <c r="E250" s="169" t="s">
        <v>48</v>
      </c>
      <c r="F250" s="167">
        <v>2500000</v>
      </c>
      <c r="G250" s="167">
        <v>0</v>
      </c>
    </row>
    <row r="251" spans="1:7" ht="72" hidden="1" outlineLevel="1">
      <c r="A251" s="164" t="s">
        <v>299</v>
      </c>
      <c r="B251" s="163" t="s">
        <v>504</v>
      </c>
      <c r="C251" s="163" t="s">
        <v>59</v>
      </c>
      <c r="D251" s="163" t="s">
        <v>390</v>
      </c>
      <c r="E251" s="169" t="s">
        <v>6</v>
      </c>
      <c r="F251" s="167">
        <f t="shared" ref="F251:G252" si="77">F252</f>
        <v>0</v>
      </c>
      <c r="G251" s="167">
        <f t="shared" si="77"/>
        <v>0</v>
      </c>
    </row>
    <row r="252" spans="1:7" ht="36" hidden="1" outlineLevel="1">
      <c r="A252" s="164" t="s">
        <v>15</v>
      </c>
      <c r="B252" s="163" t="s">
        <v>504</v>
      </c>
      <c r="C252" s="163" t="s">
        <v>59</v>
      </c>
      <c r="D252" s="163" t="s">
        <v>390</v>
      </c>
      <c r="E252" s="169" t="s">
        <v>16</v>
      </c>
      <c r="F252" s="167">
        <f t="shared" si="77"/>
        <v>0</v>
      </c>
      <c r="G252" s="167">
        <f t="shared" si="77"/>
        <v>0</v>
      </c>
    </row>
    <row r="253" spans="1:7" ht="52.5" hidden="1" customHeight="1" outlineLevel="1">
      <c r="A253" s="164" t="s">
        <v>17</v>
      </c>
      <c r="B253" s="163" t="s">
        <v>504</v>
      </c>
      <c r="C253" s="163" t="s">
        <v>59</v>
      </c>
      <c r="D253" s="163" t="s">
        <v>390</v>
      </c>
      <c r="E253" s="169" t="s">
        <v>18</v>
      </c>
      <c r="F253" s="167">
        <v>0</v>
      </c>
      <c r="G253" s="167">
        <v>0</v>
      </c>
    </row>
    <row r="254" spans="1:7" ht="56.25" customHeight="1" outlineLevel="1">
      <c r="A254" s="164" t="s">
        <v>263</v>
      </c>
      <c r="B254" s="163" t="s">
        <v>504</v>
      </c>
      <c r="C254" s="163" t="s">
        <v>59</v>
      </c>
      <c r="D254" s="163" t="s">
        <v>391</v>
      </c>
      <c r="E254" s="169" t="s">
        <v>6</v>
      </c>
      <c r="F254" s="167">
        <f t="shared" ref="F254:G255" si="78">F255</f>
        <v>200000</v>
      </c>
      <c r="G254" s="167">
        <f t="shared" si="78"/>
        <v>200000</v>
      </c>
    </row>
    <row r="255" spans="1:7" ht="37.5" customHeight="1" outlineLevel="1">
      <c r="A255" s="164" t="s">
        <v>15</v>
      </c>
      <c r="B255" s="163" t="s">
        <v>504</v>
      </c>
      <c r="C255" s="163" t="s">
        <v>59</v>
      </c>
      <c r="D255" s="163" t="s">
        <v>391</v>
      </c>
      <c r="E255" s="169" t="s">
        <v>16</v>
      </c>
      <c r="F255" s="167">
        <f t="shared" si="78"/>
        <v>200000</v>
      </c>
      <c r="G255" s="167">
        <f t="shared" si="78"/>
        <v>200000</v>
      </c>
    </row>
    <row r="256" spans="1:7" ht="34.5" customHeight="1" outlineLevel="1">
      <c r="A256" s="164" t="s">
        <v>17</v>
      </c>
      <c r="B256" s="163" t="s">
        <v>504</v>
      </c>
      <c r="C256" s="163" t="s">
        <v>59</v>
      </c>
      <c r="D256" s="163" t="s">
        <v>391</v>
      </c>
      <c r="E256" s="169" t="s">
        <v>18</v>
      </c>
      <c r="F256" s="167">
        <v>200000</v>
      </c>
      <c r="G256" s="167">
        <v>200000</v>
      </c>
    </row>
    <row r="257" spans="1:8" ht="56.25" hidden="1" customHeight="1" outlineLevel="1">
      <c r="A257" s="164" t="s">
        <v>723</v>
      </c>
      <c r="B257" s="163" t="s">
        <v>504</v>
      </c>
      <c r="C257" s="163" t="s">
        <v>59</v>
      </c>
      <c r="D257" s="163" t="s">
        <v>722</v>
      </c>
      <c r="E257" s="163" t="s">
        <v>6</v>
      </c>
      <c r="F257" s="167">
        <f t="shared" ref="F257:G258" si="79">F258</f>
        <v>0</v>
      </c>
      <c r="G257" s="167">
        <f t="shared" si="79"/>
        <v>0</v>
      </c>
    </row>
    <row r="258" spans="1:8" ht="37.5" hidden="1" customHeight="1" outlineLevel="1">
      <c r="A258" s="164" t="s">
        <v>15</v>
      </c>
      <c r="B258" s="163" t="s">
        <v>504</v>
      </c>
      <c r="C258" s="163" t="s">
        <v>59</v>
      </c>
      <c r="D258" s="163" t="s">
        <v>722</v>
      </c>
      <c r="E258" s="163" t="s">
        <v>16</v>
      </c>
      <c r="F258" s="167">
        <f t="shared" si="79"/>
        <v>0</v>
      </c>
      <c r="G258" s="167">
        <f t="shared" si="79"/>
        <v>0</v>
      </c>
    </row>
    <row r="259" spans="1:8" ht="37.5" hidden="1" customHeight="1" outlineLevel="1">
      <c r="A259" s="164" t="s">
        <v>17</v>
      </c>
      <c r="B259" s="163" t="s">
        <v>504</v>
      </c>
      <c r="C259" s="163" t="s">
        <v>59</v>
      </c>
      <c r="D259" s="163" t="s">
        <v>722</v>
      </c>
      <c r="E259" s="163" t="s">
        <v>18</v>
      </c>
      <c r="F259" s="167"/>
      <c r="G259" s="167"/>
    </row>
    <row r="260" spans="1:8" ht="36" hidden="1" outlineLevel="1">
      <c r="A260" s="164" t="s">
        <v>693</v>
      </c>
      <c r="B260" s="163" t="s">
        <v>504</v>
      </c>
      <c r="C260" s="163" t="s">
        <v>59</v>
      </c>
      <c r="D260" s="163" t="s">
        <v>692</v>
      </c>
      <c r="E260" s="163" t="s">
        <v>6</v>
      </c>
      <c r="F260" s="167">
        <f t="shared" ref="F260:G261" si="80">F261</f>
        <v>0</v>
      </c>
      <c r="G260" s="167">
        <f t="shared" si="80"/>
        <v>0</v>
      </c>
    </row>
    <row r="261" spans="1:8" ht="36" hidden="1" outlineLevel="1">
      <c r="A261" s="164" t="s">
        <v>15</v>
      </c>
      <c r="B261" s="163" t="s">
        <v>504</v>
      </c>
      <c r="C261" s="163" t="s">
        <v>59</v>
      </c>
      <c r="D261" s="163" t="s">
        <v>692</v>
      </c>
      <c r="E261" s="163" t="s">
        <v>16</v>
      </c>
      <c r="F261" s="167">
        <f t="shared" si="80"/>
        <v>0</v>
      </c>
      <c r="G261" s="167">
        <f t="shared" si="80"/>
        <v>0</v>
      </c>
    </row>
    <row r="262" spans="1:8" ht="36" hidden="1" outlineLevel="1">
      <c r="A262" s="164" t="s">
        <v>17</v>
      </c>
      <c r="B262" s="163" t="s">
        <v>504</v>
      </c>
      <c r="C262" s="163" t="s">
        <v>59</v>
      </c>
      <c r="D262" s="163" t="s">
        <v>692</v>
      </c>
      <c r="E262" s="163" t="s">
        <v>18</v>
      </c>
      <c r="F262" s="167"/>
      <c r="G262" s="167"/>
    </row>
    <row r="263" spans="1:8" hidden="1" outlineLevel="1">
      <c r="A263" s="200" t="s">
        <v>456</v>
      </c>
      <c r="B263" s="163" t="s">
        <v>504</v>
      </c>
      <c r="C263" s="163" t="s">
        <v>59</v>
      </c>
      <c r="D263" s="163" t="s">
        <v>714</v>
      </c>
      <c r="E263" s="163" t="s">
        <v>6</v>
      </c>
      <c r="F263" s="167"/>
      <c r="G263" s="167"/>
    </row>
    <row r="264" spans="1:8" ht="54" hidden="1" outlineLevel="1">
      <c r="A264" s="164" t="s">
        <v>461</v>
      </c>
      <c r="B264" s="163" t="s">
        <v>504</v>
      </c>
      <c r="C264" s="163" t="s">
        <v>59</v>
      </c>
      <c r="D264" s="163" t="s">
        <v>715</v>
      </c>
      <c r="E264" s="163" t="s">
        <v>6</v>
      </c>
      <c r="F264" s="167"/>
      <c r="G264" s="167"/>
    </row>
    <row r="265" spans="1:8" ht="54" hidden="1" outlineLevel="1">
      <c r="A265" s="164" t="s">
        <v>264</v>
      </c>
      <c r="B265" s="163" t="s">
        <v>504</v>
      </c>
      <c r="C265" s="163" t="s">
        <v>59</v>
      </c>
      <c r="D265" s="163" t="s">
        <v>715</v>
      </c>
      <c r="E265" s="163" t="s">
        <v>265</v>
      </c>
      <c r="F265" s="167"/>
      <c r="G265" s="167"/>
    </row>
    <row r="266" spans="1:8" hidden="1" outlineLevel="1">
      <c r="A266" s="164" t="s">
        <v>266</v>
      </c>
      <c r="B266" s="163" t="s">
        <v>504</v>
      </c>
      <c r="C266" s="163" t="s">
        <v>59</v>
      </c>
      <c r="D266" s="163" t="s">
        <v>715</v>
      </c>
      <c r="E266" s="163" t="s">
        <v>267</v>
      </c>
      <c r="F266" s="167"/>
      <c r="G266" s="167"/>
    </row>
    <row r="267" spans="1:8" outlineLevel="1">
      <c r="A267" s="164" t="s">
        <v>61</v>
      </c>
      <c r="B267" s="163" t="s">
        <v>504</v>
      </c>
      <c r="C267" s="163" t="s">
        <v>62</v>
      </c>
      <c r="D267" s="163" t="s">
        <v>126</v>
      </c>
      <c r="E267" s="169" t="s">
        <v>6</v>
      </c>
      <c r="F267" s="167">
        <f>F268+F279+F290</f>
        <v>30574076.27</v>
      </c>
      <c r="G267" s="167">
        <f>G268+G279+G290</f>
        <v>27609227.807</v>
      </c>
    </row>
    <row r="268" spans="1:8" ht="72" outlineLevel="1">
      <c r="A268" s="196" t="s">
        <v>874</v>
      </c>
      <c r="B268" s="163" t="s">
        <v>504</v>
      </c>
      <c r="C268" s="197" t="s">
        <v>62</v>
      </c>
      <c r="D268" s="197" t="s">
        <v>134</v>
      </c>
      <c r="E268" s="198" t="s">
        <v>6</v>
      </c>
      <c r="F268" s="167">
        <f>F269</f>
        <v>900000</v>
      </c>
      <c r="G268" s="167">
        <f>G269</f>
        <v>900000</v>
      </c>
    </row>
    <row r="269" spans="1:8" outlineLevel="1">
      <c r="A269" s="164" t="s">
        <v>354</v>
      </c>
      <c r="B269" s="163" t="s">
        <v>504</v>
      </c>
      <c r="C269" s="163" t="s">
        <v>62</v>
      </c>
      <c r="D269" s="163" t="s">
        <v>232</v>
      </c>
      <c r="E269" s="169" t="s">
        <v>6</v>
      </c>
      <c r="F269" s="167">
        <f>F270+F276+F273</f>
        <v>900000</v>
      </c>
      <c r="G269" s="167">
        <f>G270+G276+G273</f>
        <v>900000</v>
      </c>
    </row>
    <row r="270" spans="1:8" ht="36" outlineLevel="1">
      <c r="A270" s="164" t="s">
        <v>360</v>
      </c>
      <c r="B270" s="163" t="s">
        <v>504</v>
      </c>
      <c r="C270" s="163" t="s">
        <v>62</v>
      </c>
      <c r="D270" s="163" t="s">
        <v>462</v>
      </c>
      <c r="E270" s="169" t="s">
        <v>6</v>
      </c>
      <c r="F270" s="167">
        <f t="shared" ref="F270:G271" si="81">F271</f>
        <v>400000</v>
      </c>
      <c r="G270" s="167">
        <f t="shared" si="81"/>
        <v>400000</v>
      </c>
    </row>
    <row r="271" spans="1:8" s="266" customFormat="1" ht="36" outlineLevel="1">
      <c r="A271" s="33" t="s">
        <v>15</v>
      </c>
      <c r="B271" s="163" t="s">
        <v>504</v>
      </c>
      <c r="C271" s="163" t="s">
        <v>62</v>
      </c>
      <c r="D271" s="163" t="s">
        <v>462</v>
      </c>
      <c r="E271" s="169" t="s">
        <v>16</v>
      </c>
      <c r="F271" s="167">
        <f t="shared" si="81"/>
        <v>400000</v>
      </c>
      <c r="G271" s="167">
        <f t="shared" si="81"/>
        <v>400000</v>
      </c>
      <c r="H271" s="265"/>
    </row>
    <row r="272" spans="1:8" ht="52.5" customHeight="1" outlineLevel="1">
      <c r="A272" s="33" t="s">
        <v>17</v>
      </c>
      <c r="B272" s="163" t="s">
        <v>504</v>
      </c>
      <c r="C272" s="163" t="s">
        <v>62</v>
      </c>
      <c r="D272" s="163" t="s">
        <v>462</v>
      </c>
      <c r="E272" s="169" t="s">
        <v>18</v>
      </c>
      <c r="F272" s="167">
        <v>400000</v>
      </c>
      <c r="G272" s="167">
        <v>400000</v>
      </c>
    </row>
    <row r="273" spans="1:8" ht="54" hidden="1" outlineLevel="1">
      <c r="A273" s="33" t="s">
        <v>782</v>
      </c>
      <c r="B273" s="163" t="s">
        <v>504</v>
      </c>
      <c r="C273" s="163" t="s">
        <v>62</v>
      </c>
      <c r="D273" s="163" t="s">
        <v>781</v>
      </c>
      <c r="E273" s="169" t="s">
        <v>6</v>
      </c>
      <c r="F273" s="167">
        <f>F274</f>
        <v>0</v>
      </c>
      <c r="G273" s="167">
        <f>G274</f>
        <v>0</v>
      </c>
    </row>
    <row r="274" spans="1:8" ht="36" hidden="1" outlineLevel="1">
      <c r="A274" s="33" t="s">
        <v>15</v>
      </c>
      <c r="B274" s="163" t="s">
        <v>504</v>
      </c>
      <c r="C274" s="163" t="s">
        <v>62</v>
      </c>
      <c r="D274" s="163" t="s">
        <v>781</v>
      </c>
      <c r="E274" s="169" t="s">
        <v>16</v>
      </c>
      <c r="F274" s="167">
        <f t="shared" ref="F274:G274" si="82">F275</f>
        <v>0</v>
      </c>
      <c r="G274" s="167">
        <f t="shared" si="82"/>
        <v>0</v>
      </c>
    </row>
    <row r="275" spans="1:8" ht="18.75" hidden="1" customHeight="1" outlineLevel="1">
      <c r="A275" s="33" t="s">
        <v>17</v>
      </c>
      <c r="B275" s="163" t="s">
        <v>504</v>
      </c>
      <c r="C275" s="163" t="s">
        <v>62</v>
      </c>
      <c r="D275" s="163" t="s">
        <v>781</v>
      </c>
      <c r="E275" s="169" t="s">
        <v>18</v>
      </c>
      <c r="F275" s="167">
        <v>0</v>
      </c>
      <c r="G275" s="167">
        <v>0</v>
      </c>
    </row>
    <row r="276" spans="1:8" ht="36" outlineLevel="1">
      <c r="A276" s="164" t="s">
        <v>63</v>
      </c>
      <c r="B276" s="163" t="s">
        <v>504</v>
      </c>
      <c r="C276" s="163" t="s">
        <v>62</v>
      </c>
      <c r="D276" s="163" t="s">
        <v>355</v>
      </c>
      <c r="E276" s="169" t="s">
        <v>6</v>
      </c>
      <c r="F276" s="167">
        <f t="shared" ref="F276:G277" si="83">F277</f>
        <v>500000</v>
      </c>
      <c r="G276" s="167">
        <f t="shared" si="83"/>
        <v>500000</v>
      </c>
    </row>
    <row r="277" spans="1:8" ht="36" outlineLevel="1">
      <c r="A277" s="164" t="s">
        <v>15</v>
      </c>
      <c r="B277" s="163" t="s">
        <v>504</v>
      </c>
      <c r="C277" s="163" t="s">
        <v>62</v>
      </c>
      <c r="D277" s="163" t="s">
        <v>355</v>
      </c>
      <c r="E277" s="169" t="s">
        <v>16</v>
      </c>
      <c r="F277" s="167">
        <f t="shared" si="83"/>
        <v>500000</v>
      </c>
      <c r="G277" s="167">
        <f t="shared" si="83"/>
        <v>500000</v>
      </c>
    </row>
    <row r="278" spans="1:8" ht="22.65" customHeight="1" outlineLevel="1">
      <c r="A278" s="164" t="s">
        <v>17</v>
      </c>
      <c r="B278" s="163" t="s">
        <v>504</v>
      </c>
      <c r="C278" s="163" t="s">
        <v>62</v>
      </c>
      <c r="D278" s="163" t="s">
        <v>355</v>
      </c>
      <c r="E278" s="169" t="s">
        <v>18</v>
      </c>
      <c r="F278" s="184">
        <v>500000</v>
      </c>
      <c r="G278" s="184">
        <v>500000</v>
      </c>
    </row>
    <row r="279" spans="1:8" s="266" customFormat="1" ht="54" outlineLevel="1">
      <c r="A279" s="196" t="s">
        <v>512</v>
      </c>
      <c r="B279" s="197" t="s">
        <v>504</v>
      </c>
      <c r="C279" s="197" t="s">
        <v>62</v>
      </c>
      <c r="D279" s="197" t="s">
        <v>513</v>
      </c>
      <c r="E279" s="198" t="s">
        <v>6</v>
      </c>
      <c r="F279" s="167">
        <f>F280</f>
        <v>9700000</v>
      </c>
      <c r="G279" s="167">
        <f>G280</f>
        <v>6000000</v>
      </c>
      <c r="H279" s="265"/>
    </row>
    <row r="280" spans="1:8" ht="36" outlineLevel="1">
      <c r="A280" s="164" t="s">
        <v>514</v>
      </c>
      <c r="B280" s="163" t="s">
        <v>504</v>
      </c>
      <c r="C280" s="163" t="s">
        <v>62</v>
      </c>
      <c r="D280" s="163" t="s">
        <v>515</v>
      </c>
      <c r="E280" s="169" t="s">
        <v>6</v>
      </c>
      <c r="F280" s="167">
        <f>F281+F284+F287</f>
        <v>9700000</v>
      </c>
      <c r="G280" s="167">
        <f>G281+G284+G287</f>
        <v>6000000</v>
      </c>
    </row>
    <row r="281" spans="1:8" ht="56.25" customHeight="1" outlineLevel="1">
      <c r="A281" s="164" t="s">
        <v>516</v>
      </c>
      <c r="B281" s="163" t="s">
        <v>504</v>
      </c>
      <c r="C281" s="163" t="s">
        <v>62</v>
      </c>
      <c r="D281" s="163" t="s">
        <v>517</v>
      </c>
      <c r="E281" s="169" t="s">
        <v>6</v>
      </c>
      <c r="F281" s="167">
        <f t="shared" ref="F281:G282" si="84">F282</f>
        <v>3500000</v>
      </c>
      <c r="G281" s="167">
        <f t="shared" si="84"/>
        <v>2500000</v>
      </c>
    </row>
    <row r="282" spans="1:8" ht="36" outlineLevel="1">
      <c r="A282" s="164" t="s">
        <v>15</v>
      </c>
      <c r="B282" s="163" t="s">
        <v>504</v>
      </c>
      <c r="C282" s="163" t="s">
        <v>62</v>
      </c>
      <c r="D282" s="163" t="s">
        <v>517</v>
      </c>
      <c r="E282" s="169" t="s">
        <v>16</v>
      </c>
      <c r="F282" s="167">
        <f t="shared" si="84"/>
        <v>3500000</v>
      </c>
      <c r="G282" s="167">
        <f t="shared" si="84"/>
        <v>2500000</v>
      </c>
    </row>
    <row r="283" spans="1:8" ht="36" outlineLevel="1">
      <c r="A283" s="164" t="s">
        <v>17</v>
      </c>
      <c r="B283" s="163" t="s">
        <v>504</v>
      </c>
      <c r="C283" s="163" t="s">
        <v>62</v>
      </c>
      <c r="D283" s="163" t="s">
        <v>517</v>
      </c>
      <c r="E283" s="169" t="s">
        <v>18</v>
      </c>
      <c r="F283" s="184">
        <v>3500000</v>
      </c>
      <c r="G283" s="184">
        <v>2500000</v>
      </c>
    </row>
    <row r="284" spans="1:8" ht="38.25" customHeight="1" outlineLevel="1">
      <c r="A284" s="164" t="s">
        <v>518</v>
      </c>
      <c r="B284" s="163" t="s">
        <v>504</v>
      </c>
      <c r="C284" s="163" t="s">
        <v>62</v>
      </c>
      <c r="D284" s="163" t="s">
        <v>519</v>
      </c>
      <c r="E284" s="169" t="s">
        <v>6</v>
      </c>
      <c r="F284" s="167">
        <f t="shared" ref="F284:G285" si="85">F285</f>
        <v>3700000</v>
      </c>
      <c r="G284" s="167">
        <f t="shared" si="85"/>
        <v>2000000</v>
      </c>
    </row>
    <row r="285" spans="1:8" ht="36" outlineLevel="1">
      <c r="A285" s="164" t="s">
        <v>15</v>
      </c>
      <c r="B285" s="163" t="s">
        <v>504</v>
      </c>
      <c r="C285" s="163" t="s">
        <v>62</v>
      </c>
      <c r="D285" s="163" t="s">
        <v>519</v>
      </c>
      <c r="E285" s="169" t="s">
        <v>16</v>
      </c>
      <c r="F285" s="167">
        <f t="shared" si="85"/>
        <v>3700000</v>
      </c>
      <c r="G285" s="167">
        <f t="shared" si="85"/>
        <v>2000000</v>
      </c>
    </row>
    <row r="286" spans="1:8" ht="36" outlineLevel="1">
      <c r="A286" s="164" t="s">
        <v>17</v>
      </c>
      <c r="B286" s="163" t="s">
        <v>504</v>
      </c>
      <c r="C286" s="163" t="s">
        <v>62</v>
      </c>
      <c r="D286" s="163" t="s">
        <v>519</v>
      </c>
      <c r="E286" s="169" t="s">
        <v>18</v>
      </c>
      <c r="F286" s="184">
        <v>3700000</v>
      </c>
      <c r="G286" s="184">
        <v>2000000</v>
      </c>
    </row>
    <row r="287" spans="1:8" ht="36" outlineLevel="1">
      <c r="A287" s="164" t="s">
        <v>520</v>
      </c>
      <c r="B287" s="163" t="s">
        <v>504</v>
      </c>
      <c r="C287" s="163" t="s">
        <v>62</v>
      </c>
      <c r="D287" s="163" t="s">
        <v>521</v>
      </c>
      <c r="E287" s="169" t="s">
        <v>6</v>
      </c>
      <c r="F287" s="167">
        <f t="shared" ref="F287:G288" si="86">F288</f>
        <v>2500000</v>
      </c>
      <c r="G287" s="167">
        <f t="shared" si="86"/>
        <v>1500000</v>
      </c>
    </row>
    <row r="288" spans="1:8" ht="36" outlineLevel="1">
      <c r="A288" s="164" t="s">
        <v>15</v>
      </c>
      <c r="B288" s="163" t="s">
        <v>504</v>
      </c>
      <c r="C288" s="163" t="s">
        <v>62</v>
      </c>
      <c r="D288" s="163" t="s">
        <v>521</v>
      </c>
      <c r="E288" s="169" t="s">
        <v>16</v>
      </c>
      <c r="F288" s="167">
        <f t="shared" si="86"/>
        <v>2500000</v>
      </c>
      <c r="G288" s="167">
        <f t="shared" si="86"/>
        <v>1500000</v>
      </c>
    </row>
    <row r="289" spans="1:8" ht="36" outlineLevel="1">
      <c r="A289" s="164" t="s">
        <v>17</v>
      </c>
      <c r="B289" s="163" t="s">
        <v>504</v>
      </c>
      <c r="C289" s="163" t="s">
        <v>62</v>
      </c>
      <c r="D289" s="163" t="s">
        <v>521</v>
      </c>
      <c r="E289" s="169" t="s">
        <v>18</v>
      </c>
      <c r="F289" s="184">
        <v>2500000</v>
      </c>
      <c r="G289" s="184">
        <v>1500000</v>
      </c>
    </row>
    <row r="290" spans="1:8" s="266" customFormat="1" ht="72" outlineLevel="1">
      <c r="A290" s="196" t="s">
        <v>522</v>
      </c>
      <c r="B290" s="197" t="s">
        <v>504</v>
      </c>
      <c r="C290" s="197" t="s">
        <v>62</v>
      </c>
      <c r="D290" s="197" t="s">
        <v>523</v>
      </c>
      <c r="E290" s="198" t="s">
        <v>6</v>
      </c>
      <c r="F290" s="167">
        <f>F291+F299</f>
        <v>19974076.27</v>
      </c>
      <c r="G290" s="167">
        <f>G291+G299</f>
        <v>20709227.807</v>
      </c>
      <c r="H290" s="265"/>
    </row>
    <row r="291" spans="1:8" s="266" customFormat="1" ht="54" outlineLevel="1">
      <c r="A291" s="196" t="s">
        <v>554</v>
      </c>
      <c r="B291" s="197" t="s">
        <v>504</v>
      </c>
      <c r="C291" s="197" t="s">
        <v>62</v>
      </c>
      <c r="D291" s="197" t="s">
        <v>555</v>
      </c>
      <c r="E291" s="198" t="s">
        <v>6</v>
      </c>
      <c r="F291" s="167">
        <f t="shared" ref="F291:G291" si="87">F292+F296</f>
        <v>6616389.0700000003</v>
      </c>
      <c r="G291" s="167">
        <f t="shared" si="87"/>
        <v>7351540.5999999996</v>
      </c>
      <c r="H291" s="265"/>
    </row>
    <row r="292" spans="1:8" ht="36" outlineLevel="1">
      <c r="A292" s="164" t="s">
        <v>553</v>
      </c>
      <c r="B292" s="163" t="s">
        <v>504</v>
      </c>
      <c r="C292" s="163" t="s">
        <v>62</v>
      </c>
      <c r="D292" s="163" t="s">
        <v>556</v>
      </c>
      <c r="E292" s="169" t="s">
        <v>6</v>
      </c>
      <c r="F292" s="167">
        <f t="shared" ref="F292:G294" si="88">F293</f>
        <v>6616389.0700000003</v>
      </c>
      <c r="G292" s="167">
        <f t="shared" si="88"/>
        <v>7351540.5999999996</v>
      </c>
    </row>
    <row r="293" spans="1:8" ht="36" outlineLevel="1">
      <c r="A293" s="164" t="s">
        <v>552</v>
      </c>
      <c r="B293" s="163" t="s">
        <v>504</v>
      </c>
      <c r="C293" s="163" t="s">
        <v>62</v>
      </c>
      <c r="D293" s="163" t="s">
        <v>557</v>
      </c>
      <c r="E293" s="169" t="s">
        <v>6</v>
      </c>
      <c r="F293" s="167">
        <f t="shared" si="88"/>
        <v>6616389.0700000003</v>
      </c>
      <c r="G293" s="167">
        <f t="shared" si="88"/>
        <v>7351540.5999999996</v>
      </c>
    </row>
    <row r="294" spans="1:8" ht="36" outlineLevel="1">
      <c r="A294" s="164" t="s">
        <v>15</v>
      </c>
      <c r="B294" s="163" t="s">
        <v>504</v>
      </c>
      <c r="C294" s="163" t="s">
        <v>62</v>
      </c>
      <c r="D294" s="163" t="s">
        <v>557</v>
      </c>
      <c r="E294" s="169" t="s">
        <v>16</v>
      </c>
      <c r="F294" s="167">
        <f t="shared" si="88"/>
        <v>6616389.0700000003</v>
      </c>
      <c r="G294" s="167">
        <f t="shared" si="88"/>
        <v>7351540.5999999996</v>
      </c>
    </row>
    <row r="295" spans="1:8" ht="52.5" customHeight="1" outlineLevel="1">
      <c r="A295" s="164" t="s">
        <v>17</v>
      </c>
      <c r="B295" s="163" t="s">
        <v>504</v>
      </c>
      <c r="C295" s="163" t="s">
        <v>62</v>
      </c>
      <c r="D295" s="163" t="s">
        <v>557</v>
      </c>
      <c r="E295" s="169" t="s">
        <v>18</v>
      </c>
      <c r="F295" s="167">
        <f>6583307.11+33081.96</f>
        <v>6616389.0700000003</v>
      </c>
      <c r="G295" s="167">
        <f>7314782.8+36757.8</f>
        <v>7351540.5999999996</v>
      </c>
    </row>
    <row r="296" spans="1:8" ht="54" hidden="1" outlineLevel="1">
      <c r="A296" s="33" t="s">
        <v>691</v>
      </c>
      <c r="B296" s="163" t="s">
        <v>504</v>
      </c>
      <c r="C296" s="163" t="s">
        <v>62</v>
      </c>
      <c r="D296" s="163" t="s">
        <v>738</v>
      </c>
      <c r="E296" s="163" t="s">
        <v>6</v>
      </c>
      <c r="F296" s="167">
        <f t="shared" ref="F296:G297" si="89">F297</f>
        <v>0</v>
      </c>
      <c r="G296" s="167">
        <f t="shared" si="89"/>
        <v>0</v>
      </c>
    </row>
    <row r="297" spans="1:8" ht="36" hidden="1" outlineLevel="1">
      <c r="A297" s="164" t="s">
        <v>15</v>
      </c>
      <c r="B297" s="163" t="s">
        <v>504</v>
      </c>
      <c r="C297" s="163" t="s">
        <v>62</v>
      </c>
      <c r="D297" s="163" t="s">
        <v>738</v>
      </c>
      <c r="E297" s="163" t="s">
        <v>16</v>
      </c>
      <c r="F297" s="167">
        <f t="shared" si="89"/>
        <v>0</v>
      </c>
      <c r="G297" s="167">
        <f t="shared" si="89"/>
        <v>0</v>
      </c>
    </row>
    <row r="298" spans="1:8" ht="36" hidden="1" outlineLevel="1">
      <c r="A298" s="164" t="s">
        <v>17</v>
      </c>
      <c r="B298" s="163" t="s">
        <v>504</v>
      </c>
      <c r="C298" s="163" t="s">
        <v>62</v>
      </c>
      <c r="D298" s="163" t="s">
        <v>738</v>
      </c>
      <c r="E298" s="163" t="s">
        <v>18</v>
      </c>
      <c r="F298" s="167"/>
      <c r="G298" s="167"/>
    </row>
    <row r="299" spans="1:8" s="266" customFormat="1" ht="54" outlineLevel="1">
      <c r="A299" s="208" t="s">
        <v>558</v>
      </c>
      <c r="B299" s="163" t="s">
        <v>504</v>
      </c>
      <c r="C299" s="163" t="s">
        <v>62</v>
      </c>
      <c r="D299" s="197" t="s">
        <v>560</v>
      </c>
      <c r="E299" s="198" t="s">
        <v>6</v>
      </c>
      <c r="F299" s="167">
        <f>F300</f>
        <v>13357687.199999999</v>
      </c>
      <c r="G299" s="167">
        <f t="shared" ref="F299:G305" si="90">G300</f>
        <v>13357687.207</v>
      </c>
      <c r="H299" s="265"/>
    </row>
    <row r="300" spans="1:8" s="266" customFormat="1" ht="42" customHeight="1" outlineLevel="1">
      <c r="A300" s="208" t="s">
        <v>559</v>
      </c>
      <c r="B300" s="163" t="s">
        <v>504</v>
      </c>
      <c r="C300" s="163" t="s">
        <v>62</v>
      </c>
      <c r="D300" s="197" t="s">
        <v>561</v>
      </c>
      <c r="E300" s="198" t="s">
        <v>6</v>
      </c>
      <c r="F300" s="171">
        <f>F301+F304+F307+F310</f>
        <v>13357687.199999999</v>
      </c>
      <c r="G300" s="171">
        <f t="shared" ref="G300" si="91">G301+G304+G307+G310</f>
        <v>13357687.207</v>
      </c>
      <c r="H300" s="265"/>
    </row>
    <row r="301" spans="1:8" s="266" customFormat="1" ht="78.75" customHeight="1" outlineLevel="1">
      <c r="A301" s="33" t="s">
        <v>573</v>
      </c>
      <c r="B301" s="163" t="s">
        <v>504</v>
      </c>
      <c r="C301" s="163" t="s">
        <v>62</v>
      </c>
      <c r="D301" s="163" t="s">
        <v>598</v>
      </c>
      <c r="E301" s="169" t="s">
        <v>6</v>
      </c>
      <c r="F301" s="167">
        <f t="shared" ref="F301:G302" si="92">F302</f>
        <v>12956956.59</v>
      </c>
      <c r="G301" s="167">
        <f t="shared" si="92"/>
        <v>12956956.59</v>
      </c>
      <c r="H301" s="265"/>
    </row>
    <row r="302" spans="1:8" s="266" customFormat="1" ht="36" outlineLevel="1">
      <c r="A302" s="164" t="s">
        <v>15</v>
      </c>
      <c r="B302" s="163" t="s">
        <v>504</v>
      </c>
      <c r="C302" s="163" t="s">
        <v>62</v>
      </c>
      <c r="D302" s="163" t="s">
        <v>598</v>
      </c>
      <c r="E302" s="169" t="s">
        <v>16</v>
      </c>
      <c r="F302" s="167">
        <f t="shared" si="92"/>
        <v>12956956.59</v>
      </c>
      <c r="G302" s="167">
        <f t="shared" si="92"/>
        <v>12956956.59</v>
      </c>
      <c r="H302" s="265"/>
    </row>
    <row r="303" spans="1:8" s="266" customFormat="1" ht="36" outlineLevel="1">
      <c r="A303" s="164" t="s">
        <v>17</v>
      </c>
      <c r="B303" s="163" t="s">
        <v>504</v>
      </c>
      <c r="C303" s="163" t="s">
        <v>62</v>
      </c>
      <c r="D303" s="163" t="s">
        <v>598</v>
      </c>
      <c r="E303" s="169" t="s">
        <v>18</v>
      </c>
      <c r="F303" s="167">
        <v>12956956.59</v>
      </c>
      <c r="G303" s="167">
        <v>12956956.59</v>
      </c>
      <c r="H303" s="265"/>
    </row>
    <row r="304" spans="1:8" ht="40.65" customHeight="1" outlineLevel="1">
      <c r="A304" s="33" t="s">
        <v>563</v>
      </c>
      <c r="B304" s="163" t="s">
        <v>504</v>
      </c>
      <c r="C304" s="163" t="s">
        <v>62</v>
      </c>
      <c r="D304" s="163" t="s">
        <v>562</v>
      </c>
      <c r="E304" s="169" t="s">
        <v>6</v>
      </c>
      <c r="F304" s="167">
        <f t="shared" si="90"/>
        <v>400730.61</v>
      </c>
      <c r="G304" s="167">
        <f t="shared" si="90"/>
        <v>400730.61699999997</v>
      </c>
    </row>
    <row r="305" spans="1:8" ht="36" outlineLevel="1">
      <c r="A305" s="164" t="s">
        <v>15</v>
      </c>
      <c r="B305" s="163" t="s">
        <v>504</v>
      </c>
      <c r="C305" s="163" t="s">
        <v>62</v>
      </c>
      <c r="D305" s="163" t="s">
        <v>562</v>
      </c>
      <c r="E305" s="169" t="s">
        <v>16</v>
      </c>
      <c r="F305" s="167">
        <f t="shared" si="90"/>
        <v>400730.61</v>
      </c>
      <c r="G305" s="167">
        <f t="shared" si="90"/>
        <v>400730.61699999997</v>
      </c>
    </row>
    <row r="306" spans="1:8" ht="54.75" customHeight="1" outlineLevel="1">
      <c r="A306" s="164" t="s">
        <v>17</v>
      </c>
      <c r="B306" s="163" t="s">
        <v>504</v>
      </c>
      <c r="C306" s="163" t="s">
        <v>62</v>
      </c>
      <c r="D306" s="163" t="s">
        <v>562</v>
      </c>
      <c r="E306" s="169" t="s">
        <v>18</v>
      </c>
      <c r="F306" s="184">
        <f>377047.43+23683.18</f>
        <v>400730.61</v>
      </c>
      <c r="G306" s="184">
        <f>377047.437+23683.18</f>
        <v>400730.61699999997</v>
      </c>
    </row>
    <row r="307" spans="1:8" ht="54" hidden="1" customHeight="1" outlineLevel="1">
      <c r="A307" s="164" t="s">
        <v>691</v>
      </c>
      <c r="B307" s="163" t="s">
        <v>504</v>
      </c>
      <c r="C307" s="163" t="s">
        <v>62</v>
      </c>
      <c r="D307" s="163" t="s">
        <v>690</v>
      </c>
      <c r="E307" s="163" t="s">
        <v>6</v>
      </c>
      <c r="F307" s="167">
        <f t="shared" ref="F307:G308" si="93">F308</f>
        <v>0</v>
      </c>
      <c r="G307" s="167">
        <f t="shared" si="93"/>
        <v>0</v>
      </c>
    </row>
    <row r="308" spans="1:8" ht="36" hidden="1" outlineLevel="1">
      <c r="A308" s="164" t="s">
        <v>15</v>
      </c>
      <c r="B308" s="163" t="s">
        <v>504</v>
      </c>
      <c r="C308" s="163" t="s">
        <v>62</v>
      </c>
      <c r="D308" s="163" t="s">
        <v>690</v>
      </c>
      <c r="E308" s="163" t="s">
        <v>16</v>
      </c>
      <c r="F308" s="167">
        <f t="shared" si="93"/>
        <v>0</v>
      </c>
      <c r="G308" s="167">
        <f t="shared" si="93"/>
        <v>0</v>
      </c>
    </row>
    <row r="309" spans="1:8" ht="36" hidden="1" outlineLevel="1">
      <c r="A309" s="164" t="s">
        <v>17</v>
      </c>
      <c r="B309" s="163" t="s">
        <v>504</v>
      </c>
      <c r="C309" s="163" t="s">
        <v>62</v>
      </c>
      <c r="D309" s="163" t="s">
        <v>690</v>
      </c>
      <c r="E309" s="163" t="s">
        <v>18</v>
      </c>
      <c r="F309" s="184"/>
      <c r="G309" s="184"/>
    </row>
    <row r="310" spans="1:8" ht="43.5" hidden="1" customHeight="1" outlineLevel="1">
      <c r="A310" s="164" t="s">
        <v>693</v>
      </c>
      <c r="B310" s="163" t="s">
        <v>504</v>
      </c>
      <c r="C310" s="163" t="s">
        <v>62</v>
      </c>
      <c r="D310" s="163" t="s">
        <v>780</v>
      </c>
      <c r="E310" s="163" t="s">
        <v>6</v>
      </c>
      <c r="F310" s="167">
        <f t="shared" ref="F310:G311" si="94">F311</f>
        <v>0</v>
      </c>
      <c r="G310" s="167">
        <f t="shared" si="94"/>
        <v>0</v>
      </c>
    </row>
    <row r="311" spans="1:8" s="266" customFormat="1" ht="36" hidden="1" outlineLevel="1">
      <c r="A311" s="164" t="s">
        <v>15</v>
      </c>
      <c r="B311" s="163" t="s">
        <v>504</v>
      </c>
      <c r="C311" s="163" t="s">
        <v>62</v>
      </c>
      <c r="D311" s="163" t="s">
        <v>780</v>
      </c>
      <c r="E311" s="163" t="s">
        <v>16</v>
      </c>
      <c r="F311" s="167">
        <f t="shared" si="94"/>
        <v>0</v>
      </c>
      <c r="G311" s="167">
        <f t="shared" si="94"/>
        <v>0</v>
      </c>
      <c r="H311" s="265"/>
    </row>
    <row r="312" spans="1:8" ht="36" hidden="1" outlineLevel="1">
      <c r="A312" s="164" t="s">
        <v>17</v>
      </c>
      <c r="B312" s="163" t="s">
        <v>504</v>
      </c>
      <c r="C312" s="163" t="s">
        <v>62</v>
      </c>
      <c r="D312" s="163" t="s">
        <v>780</v>
      </c>
      <c r="E312" s="163" t="s">
        <v>18</v>
      </c>
      <c r="F312" s="184"/>
      <c r="G312" s="184"/>
    </row>
    <row r="313" spans="1:8" ht="36" outlineLevel="1">
      <c r="A313" s="164" t="s">
        <v>292</v>
      </c>
      <c r="B313" s="163" t="s">
        <v>504</v>
      </c>
      <c r="C313" s="163" t="s">
        <v>293</v>
      </c>
      <c r="D313" s="163" t="s">
        <v>126</v>
      </c>
      <c r="E313" s="169" t="s">
        <v>6</v>
      </c>
      <c r="F313" s="184">
        <f t="shared" ref="F313:G314" si="95">F314</f>
        <v>300000</v>
      </c>
      <c r="G313" s="184">
        <f t="shared" si="95"/>
        <v>300000</v>
      </c>
    </row>
    <row r="314" spans="1:8" ht="72" outlineLevel="1">
      <c r="A314" s="196" t="s">
        <v>421</v>
      </c>
      <c r="B314" s="197" t="s">
        <v>504</v>
      </c>
      <c r="C314" s="197" t="s">
        <v>293</v>
      </c>
      <c r="D314" s="197" t="s">
        <v>134</v>
      </c>
      <c r="E314" s="198" t="s">
        <v>6</v>
      </c>
      <c r="F314" s="209">
        <f t="shared" si="95"/>
        <v>300000</v>
      </c>
      <c r="G314" s="209">
        <f t="shared" si="95"/>
        <v>300000</v>
      </c>
    </row>
    <row r="315" spans="1:8" ht="51.75" customHeight="1" outlineLevel="1">
      <c r="A315" s="164" t="s">
        <v>873</v>
      </c>
      <c r="B315" s="163" t="s">
        <v>504</v>
      </c>
      <c r="C315" s="163" t="s">
        <v>293</v>
      </c>
      <c r="D315" s="163" t="s">
        <v>350</v>
      </c>
      <c r="E315" s="169" t="s">
        <v>6</v>
      </c>
      <c r="F315" s="184">
        <f t="shared" ref="F315:G315" si="96">F316+F319</f>
        <v>300000</v>
      </c>
      <c r="G315" s="184">
        <f t="shared" si="96"/>
        <v>300000</v>
      </c>
    </row>
    <row r="316" spans="1:8" ht="37.5" hidden="1" customHeight="1" outlineLevel="1">
      <c r="A316" s="187" t="s">
        <v>569</v>
      </c>
      <c r="B316" s="163" t="s">
        <v>504</v>
      </c>
      <c r="C316" s="163" t="s">
        <v>293</v>
      </c>
      <c r="D316" s="163" t="s">
        <v>599</v>
      </c>
      <c r="E316" s="163" t="s">
        <v>6</v>
      </c>
      <c r="F316" s="184">
        <f t="shared" ref="F316:G317" si="97">F317</f>
        <v>0</v>
      </c>
      <c r="G316" s="184">
        <f t="shared" si="97"/>
        <v>0</v>
      </c>
    </row>
    <row r="317" spans="1:8" hidden="1" outlineLevel="1">
      <c r="A317" s="164" t="s">
        <v>19</v>
      </c>
      <c r="B317" s="163" t="s">
        <v>504</v>
      </c>
      <c r="C317" s="163" t="s">
        <v>293</v>
      </c>
      <c r="D317" s="163" t="s">
        <v>599</v>
      </c>
      <c r="E317" s="163" t="s">
        <v>20</v>
      </c>
      <c r="F317" s="184">
        <f t="shared" si="97"/>
        <v>0</v>
      </c>
      <c r="G317" s="184">
        <f t="shared" si="97"/>
        <v>0</v>
      </c>
    </row>
    <row r="318" spans="1:8" ht="54" hidden="1" outlineLevel="1">
      <c r="A318" s="164" t="s">
        <v>47</v>
      </c>
      <c r="B318" s="163" t="s">
        <v>504</v>
      </c>
      <c r="C318" s="163" t="s">
        <v>293</v>
      </c>
      <c r="D318" s="163" t="s">
        <v>599</v>
      </c>
      <c r="E318" s="163" t="s">
        <v>48</v>
      </c>
      <c r="F318" s="184">
        <v>0</v>
      </c>
      <c r="G318" s="184">
        <v>0</v>
      </c>
    </row>
    <row r="319" spans="1:8" s="266" customFormat="1" ht="18.75" customHeight="1" outlineLevel="1">
      <c r="A319" s="164" t="s">
        <v>306</v>
      </c>
      <c r="B319" s="163" t="s">
        <v>504</v>
      </c>
      <c r="C319" s="163" t="s">
        <v>293</v>
      </c>
      <c r="D319" s="163" t="s">
        <v>357</v>
      </c>
      <c r="E319" s="169" t="s">
        <v>6</v>
      </c>
      <c r="F319" s="184">
        <f t="shared" ref="F319:G320" si="98">F320</f>
        <v>300000</v>
      </c>
      <c r="G319" s="184">
        <f t="shared" si="98"/>
        <v>300000</v>
      </c>
      <c r="H319" s="265"/>
    </row>
    <row r="320" spans="1:8" outlineLevel="2">
      <c r="A320" s="164" t="s">
        <v>19</v>
      </c>
      <c r="B320" s="163" t="s">
        <v>504</v>
      </c>
      <c r="C320" s="163" t="s">
        <v>293</v>
      </c>
      <c r="D320" s="163" t="s">
        <v>357</v>
      </c>
      <c r="E320" s="169" t="s">
        <v>20</v>
      </c>
      <c r="F320" s="184">
        <f t="shared" si="98"/>
        <v>300000</v>
      </c>
      <c r="G320" s="184">
        <f t="shared" si="98"/>
        <v>300000</v>
      </c>
    </row>
    <row r="321" spans="1:8" s="266" customFormat="1" ht="41.25" customHeight="1" outlineLevel="3">
      <c r="A321" s="164" t="s">
        <v>47</v>
      </c>
      <c r="B321" s="163" t="s">
        <v>504</v>
      </c>
      <c r="C321" s="163" t="s">
        <v>293</v>
      </c>
      <c r="D321" s="163" t="s">
        <v>357</v>
      </c>
      <c r="E321" s="169" t="s">
        <v>48</v>
      </c>
      <c r="F321" s="218">
        <v>300000</v>
      </c>
      <c r="G321" s="218">
        <v>300000</v>
      </c>
      <c r="H321" s="265"/>
    </row>
    <row r="322" spans="1:8" ht="26.4" customHeight="1" outlineLevel="3">
      <c r="A322" s="196" t="s">
        <v>64</v>
      </c>
      <c r="B322" s="163" t="s">
        <v>504</v>
      </c>
      <c r="C322" s="197" t="s">
        <v>65</v>
      </c>
      <c r="D322" s="197" t="s">
        <v>126</v>
      </c>
      <c r="E322" s="198" t="s">
        <v>6</v>
      </c>
      <c r="F322" s="171">
        <f t="shared" ref="F322:G322" si="99">F323</f>
        <v>515000</v>
      </c>
      <c r="G322" s="171">
        <f t="shared" si="99"/>
        <v>515000</v>
      </c>
    </row>
    <row r="323" spans="1:8" ht="23.25" customHeight="1" outlineLevel="3">
      <c r="A323" s="164" t="s">
        <v>66</v>
      </c>
      <c r="B323" s="163" t="s">
        <v>504</v>
      </c>
      <c r="C323" s="163" t="s">
        <v>67</v>
      </c>
      <c r="D323" s="163" t="s">
        <v>126</v>
      </c>
      <c r="E323" s="169" t="s">
        <v>6</v>
      </c>
      <c r="F323" s="167">
        <f>F324+F333</f>
        <v>515000</v>
      </c>
      <c r="G323" s="167">
        <f>G324+G333</f>
        <v>515000</v>
      </c>
    </row>
    <row r="324" spans="1:8" ht="60" customHeight="1" outlineLevel="3">
      <c r="A324" s="196" t="s">
        <v>870</v>
      </c>
      <c r="B324" s="197" t="s">
        <v>504</v>
      </c>
      <c r="C324" s="197" t="s">
        <v>67</v>
      </c>
      <c r="D324" s="197" t="s">
        <v>135</v>
      </c>
      <c r="E324" s="198" t="s">
        <v>6</v>
      </c>
      <c r="F324" s="171">
        <f>F325+F329</f>
        <v>470000</v>
      </c>
      <c r="G324" s="171">
        <f>G325+G329</f>
        <v>470000</v>
      </c>
    </row>
    <row r="325" spans="1:8" ht="60" customHeight="1" outlineLevel="3">
      <c r="A325" s="164" t="s">
        <v>871</v>
      </c>
      <c r="B325" s="163" t="s">
        <v>504</v>
      </c>
      <c r="C325" s="163" t="s">
        <v>67</v>
      </c>
      <c r="D325" s="163" t="s">
        <v>392</v>
      </c>
      <c r="E325" s="169" t="s">
        <v>6</v>
      </c>
      <c r="F325" s="167">
        <f>F326</f>
        <v>440000</v>
      </c>
      <c r="G325" s="167">
        <f>G326</f>
        <v>440000</v>
      </c>
    </row>
    <row r="326" spans="1:8" ht="36" outlineLevel="7">
      <c r="A326" s="164" t="s">
        <v>244</v>
      </c>
      <c r="B326" s="163" t="s">
        <v>504</v>
      </c>
      <c r="C326" s="163" t="s">
        <v>67</v>
      </c>
      <c r="D326" s="163" t="s">
        <v>361</v>
      </c>
      <c r="E326" s="169" t="s">
        <v>6</v>
      </c>
      <c r="F326" s="167">
        <f t="shared" ref="F326:G327" si="100">F327</f>
        <v>440000</v>
      </c>
      <c r="G326" s="167">
        <f t="shared" si="100"/>
        <v>440000</v>
      </c>
    </row>
    <row r="327" spans="1:8" ht="25.5" customHeight="1" outlineLevel="5">
      <c r="A327" s="164" t="s">
        <v>15</v>
      </c>
      <c r="B327" s="163" t="s">
        <v>504</v>
      </c>
      <c r="C327" s="163" t="s">
        <v>67</v>
      </c>
      <c r="D327" s="163" t="s">
        <v>361</v>
      </c>
      <c r="E327" s="169" t="s">
        <v>16</v>
      </c>
      <c r="F327" s="167">
        <f t="shared" si="100"/>
        <v>440000</v>
      </c>
      <c r="G327" s="167">
        <f t="shared" si="100"/>
        <v>440000</v>
      </c>
    </row>
    <row r="328" spans="1:8" ht="36" outlineLevel="6">
      <c r="A328" s="164" t="s">
        <v>17</v>
      </c>
      <c r="B328" s="163" t="s">
        <v>504</v>
      </c>
      <c r="C328" s="163" t="s">
        <v>67</v>
      </c>
      <c r="D328" s="163" t="s">
        <v>361</v>
      </c>
      <c r="E328" s="169" t="s">
        <v>18</v>
      </c>
      <c r="F328" s="167">
        <v>440000</v>
      </c>
      <c r="G328" s="167">
        <v>440000</v>
      </c>
    </row>
    <row r="329" spans="1:8" ht="38.25" customHeight="1" outlineLevel="7">
      <c r="A329" s="164" t="s">
        <v>362</v>
      </c>
      <c r="B329" s="163" t="s">
        <v>504</v>
      </c>
      <c r="C329" s="163" t="s">
        <v>67</v>
      </c>
      <c r="D329" s="163" t="s">
        <v>246</v>
      </c>
      <c r="E329" s="169" t="s">
        <v>6</v>
      </c>
      <c r="F329" s="184">
        <f>F330</f>
        <v>30000</v>
      </c>
      <c r="G329" s="184">
        <f>G330</f>
        <v>30000</v>
      </c>
    </row>
    <row r="330" spans="1:8" s="266" customFormat="1" ht="24" customHeight="1" outlineLevel="3">
      <c r="A330" s="164" t="s">
        <v>68</v>
      </c>
      <c r="B330" s="163" t="s">
        <v>504</v>
      </c>
      <c r="C330" s="163" t="s">
        <v>67</v>
      </c>
      <c r="D330" s="163" t="s">
        <v>245</v>
      </c>
      <c r="E330" s="169" t="s">
        <v>6</v>
      </c>
      <c r="F330" s="167">
        <f t="shared" ref="F330:G331" si="101">F331</f>
        <v>30000</v>
      </c>
      <c r="G330" s="167">
        <f t="shared" si="101"/>
        <v>30000</v>
      </c>
      <c r="H330" s="265"/>
    </row>
    <row r="331" spans="1:8" ht="36" outlineLevel="5">
      <c r="A331" s="164" t="s">
        <v>15</v>
      </c>
      <c r="B331" s="163" t="s">
        <v>504</v>
      </c>
      <c r="C331" s="163" t="s">
        <v>67</v>
      </c>
      <c r="D331" s="163" t="s">
        <v>245</v>
      </c>
      <c r="E331" s="169" t="s">
        <v>16</v>
      </c>
      <c r="F331" s="167">
        <f t="shared" si="101"/>
        <v>30000</v>
      </c>
      <c r="G331" s="167">
        <f t="shared" si="101"/>
        <v>30000</v>
      </c>
    </row>
    <row r="332" spans="1:8" ht="36" outlineLevel="5">
      <c r="A332" s="164" t="s">
        <v>17</v>
      </c>
      <c r="B332" s="163" t="s">
        <v>504</v>
      </c>
      <c r="C332" s="163" t="s">
        <v>67</v>
      </c>
      <c r="D332" s="163" t="s">
        <v>245</v>
      </c>
      <c r="E332" s="169" t="s">
        <v>18</v>
      </c>
      <c r="F332" s="167">
        <v>30000</v>
      </c>
      <c r="G332" s="167">
        <v>30000</v>
      </c>
    </row>
    <row r="333" spans="1:8" ht="90" outlineLevel="6">
      <c r="A333" s="196" t="s">
        <v>869</v>
      </c>
      <c r="B333" s="197" t="s">
        <v>504</v>
      </c>
      <c r="C333" s="197" t="s">
        <v>67</v>
      </c>
      <c r="D333" s="197" t="s">
        <v>363</v>
      </c>
      <c r="E333" s="198" t="s">
        <v>6</v>
      </c>
      <c r="F333" s="171">
        <f>F334</f>
        <v>45000</v>
      </c>
      <c r="G333" s="171">
        <f>G334</f>
        <v>45000</v>
      </c>
    </row>
    <row r="334" spans="1:8" ht="42.75" customHeight="1" outlineLevel="7">
      <c r="A334" s="164" t="s">
        <v>364</v>
      </c>
      <c r="B334" s="163" t="s">
        <v>504</v>
      </c>
      <c r="C334" s="163" t="s">
        <v>67</v>
      </c>
      <c r="D334" s="163" t="s">
        <v>365</v>
      </c>
      <c r="E334" s="169" t="s">
        <v>6</v>
      </c>
      <c r="F334" s="167">
        <f>F336</f>
        <v>45000</v>
      </c>
      <c r="G334" s="167">
        <f>G336</f>
        <v>45000</v>
      </c>
    </row>
    <row r="335" spans="1:8" s="266" customFormat="1" outlineLevel="1">
      <c r="A335" s="164" t="s">
        <v>366</v>
      </c>
      <c r="B335" s="163" t="s">
        <v>504</v>
      </c>
      <c r="C335" s="163" t="s">
        <v>67</v>
      </c>
      <c r="D335" s="163" t="s">
        <v>367</v>
      </c>
      <c r="E335" s="169" t="s">
        <v>6</v>
      </c>
      <c r="F335" s="167">
        <f>F336</f>
        <v>45000</v>
      </c>
      <c r="G335" s="167">
        <f>G336</f>
        <v>45000</v>
      </c>
      <c r="H335" s="265"/>
    </row>
    <row r="336" spans="1:8" ht="36" outlineLevel="2">
      <c r="A336" s="164" t="s">
        <v>15</v>
      </c>
      <c r="B336" s="163" t="s">
        <v>504</v>
      </c>
      <c r="C336" s="163" t="s">
        <v>67</v>
      </c>
      <c r="D336" s="163" t="s">
        <v>367</v>
      </c>
      <c r="E336" s="169" t="s">
        <v>16</v>
      </c>
      <c r="F336" s="167">
        <f t="shared" ref="F336:G336" si="102">F337</f>
        <v>45000</v>
      </c>
      <c r="G336" s="167">
        <f t="shared" si="102"/>
        <v>45000</v>
      </c>
    </row>
    <row r="337" spans="1:8" s="266" customFormat="1" ht="36" outlineLevel="3">
      <c r="A337" s="164" t="s">
        <v>17</v>
      </c>
      <c r="B337" s="163" t="s">
        <v>504</v>
      </c>
      <c r="C337" s="163" t="s">
        <v>67</v>
      </c>
      <c r="D337" s="163" t="s">
        <v>367</v>
      </c>
      <c r="E337" s="169" t="s">
        <v>18</v>
      </c>
      <c r="F337" s="184">
        <v>45000</v>
      </c>
      <c r="G337" s="184">
        <v>45000</v>
      </c>
      <c r="H337" s="265"/>
    </row>
    <row r="338" spans="1:8" outlineLevel="3">
      <c r="A338" s="196" t="s">
        <v>69</v>
      </c>
      <c r="B338" s="197" t="s">
        <v>504</v>
      </c>
      <c r="C338" s="197" t="s">
        <v>70</v>
      </c>
      <c r="D338" s="197" t="s">
        <v>126</v>
      </c>
      <c r="E338" s="198" t="s">
        <v>6</v>
      </c>
      <c r="F338" s="171">
        <f t="shared" ref="F338:G343" si="103">F339</f>
        <v>23547089.976</v>
      </c>
      <c r="G338" s="171">
        <f t="shared" si="103"/>
        <v>19955093.399999999</v>
      </c>
    </row>
    <row r="339" spans="1:8" outlineLevel="5">
      <c r="A339" s="164" t="s">
        <v>257</v>
      </c>
      <c r="B339" s="163" t="s">
        <v>504</v>
      </c>
      <c r="C339" s="163" t="s">
        <v>256</v>
      </c>
      <c r="D339" s="163" t="s">
        <v>126</v>
      </c>
      <c r="E339" s="169" t="s">
        <v>6</v>
      </c>
      <c r="F339" s="167">
        <f t="shared" si="103"/>
        <v>23547089.976</v>
      </c>
      <c r="G339" s="167">
        <f t="shared" si="103"/>
        <v>19955093.399999999</v>
      </c>
    </row>
    <row r="340" spans="1:8" ht="54" outlineLevel="6">
      <c r="A340" s="196" t="s">
        <v>868</v>
      </c>
      <c r="B340" s="197" t="s">
        <v>504</v>
      </c>
      <c r="C340" s="197" t="s">
        <v>256</v>
      </c>
      <c r="D340" s="197" t="s">
        <v>136</v>
      </c>
      <c r="E340" s="198" t="s">
        <v>6</v>
      </c>
      <c r="F340" s="171">
        <f>F341+F348</f>
        <v>23547089.976</v>
      </c>
      <c r="G340" s="171">
        <f>G341+G348</f>
        <v>19955093.399999999</v>
      </c>
    </row>
    <row r="341" spans="1:8" ht="42.75" customHeight="1" outlineLevel="7">
      <c r="A341" s="210" t="s">
        <v>368</v>
      </c>
      <c r="B341" s="163" t="s">
        <v>504</v>
      </c>
      <c r="C341" s="163" t="s">
        <v>256</v>
      </c>
      <c r="D341" s="163" t="s">
        <v>228</v>
      </c>
      <c r="E341" s="169" t="s">
        <v>6</v>
      </c>
      <c r="F341" s="167">
        <f>F342+F345</f>
        <v>19052341.359999999</v>
      </c>
      <c r="G341" s="167">
        <f>G342+G345</f>
        <v>19955093.399999999</v>
      </c>
    </row>
    <row r="342" spans="1:8" ht="54" outlineLevel="7">
      <c r="A342" s="164" t="s">
        <v>73</v>
      </c>
      <c r="B342" s="163" t="s">
        <v>504</v>
      </c>
      <c r="C342" s="163" t="s">
        <v>256</v>
      </c>
      <c r="D342" s="163" t="s">
        <v>137</v>
      </c>
      <c r="E342" s="169" t="s">
        <v>6</v>
      </c>
      <c r="F342" s="167">
        <f t="shared" si="103"/>
        <v>19052341.359999999</v>
      </c>
      <c r="G342" s="167">
        <f t="shared" si="103"/>
        <v>19955093.399999999</v>
      </c>
    </row>
    <row r="343" spans="1:8" ht="36" outlineLevel="7">
      <c r="A343" s="164" t="s">
        <v>37</v>
      </c>
      <c r="B343" s="163" t="s">
        <v>504</v>
      </c>
      <c r="C343" s="163" t="s">
        <v>256</v>
      </c>
      <c r="D343" s="163" t="s">
        <v>137</v>
      </c>
      <c r="E343" s="169" t="s">
        <v>38</v>
      </c>
      <c r="F343" s="167">
        <f t="shared" si="103"/>
        <v>19052341.359999999</v>
      </c>
      <c r="G343" s="167">
        <f t="shared" si="103"/>
        <v>19955093.399999999</v>
      </c>
    </row>
    <row r="344" spans="1:8" ht="20.25" customHeight="1" outlineLevel="7">
      <c r="A344" s="210" t="s">
        <v>74</v>
      </c>
      <c r="B344" s="163" t="s">
        <v>504</v>
      </c>
      <c r="C344" s="163" t="s">
        <v>256</v>
      </c>
      <c r="D344" s="163" t="s">
        <v>137</v>
      </c>
      <c r="E344" s="169" t="s">
        <v>75</v>
      </c>
      <c r="F344" s="167">
        <v>19052341.359999999</v>
      </c>
      <c r="G344" s="167">
        <v>19955093.399999999</v>
      </c>
    </row>
    <row r="345" spans="1:8" ht="78" hidden="1" customHeight="1" outlineLevel="7">
      <c r="A345" s="210" t="s">
        <v>724</v>
      </c>
      <c r="B345" s="163" t="s">
        <v>504</v>
      </c>
      <c r="C345" s="163" t="s">
        <v>256</v>
      </c>
      <c r="D345" s="163" t="s">
        <v>725</v>
      </c>
      <c r="E345" s="169" t="s">
        <v>6</v>
      </c>
      <c r="F345" s="167">
        <f>F346</f>
        <v>0</v>
      </c>
      <c r="G345" s="167">
        <f>G346</f>
        <v>0</v>
      </c>
    </row>
    <row r="346" spans="1:8" s="266" customFormat="1" ht="36" hidden="1" outlineLevel="1">
      <c r="A346" s="164" t="s">
        <v>37</v>
      </c>
      <c r="B346" s="163" t="s">
        <v>504</v>
      </c>
      <c r="C346" s="163" t="s">
        <v>256</v>
      </c>
      <c r="D346" s="163" t="s">
        <v>725</v>
      </c>
      <c r="E346" s="169" t="s">
        <v>38</v>
      </c>
      <c r="F346" s="167">
        <f t="shared" ref="F346:G346" si="104">F347</f>
        <v>0</v>
      </c>
      <c r="G346" s="167">
        <f t="shared" si="104"/>
        <v>0</v>
      </c>
      <c r="H346" s="265"/>
    </row>
    <row r="347" spans="1:8" hidden="1" outlineLevel="2">
      <c r="A347" s="210" t="s">
        <v>74</v>
      </c>
      <c r="B347" s="163" t="s">
        <v>504</v>
      </c>
      <c r="C347" s="163" t="s">
        <v>256</v>
      </c>
      <c r="D347" s="163" t="s">
        <v>725</v>
      </c>
      <c r="E347" s="169" t="s">
        <v>75</v>
      </c>
      <c r="F347" s="167">
        <v>0</v>
      </c>
      <c r="G347" s="167">
        <v>0</v>
      </c>
    </row>
    <row r="348" spans="1:8" s="266" customFormat="1" outlineLevel="3">
      <c r="A348" s="208" t="s">
        <v>608</v>
      </c>
      <c r="B348" s="197" t="s">
        <v>504</v>
      </c>
      <c r="C348" s="197" t="s">
        <v>256</v>
      </c>
      <c r="D348" s="197" t="s">
        <v>609</v>
      </c>
      <c r="E348" s="198" t="s">
        <v>6</v>
      </c>
      <c r="F348" s="167">
        <f t="shared" ref="F348:G350" si="105">F349</f>
        <v>4494748.6160000004</v>
      </c>
      <c r="G348" s="167">
        <f t="shared" si="105"/>
        <v>0</v>
      </c>
      <c r="H348" s="265"/>
    </row>
    <row r="349" spans="1:8" ht="101.25" customHeight="1" outlineLevel="3">
      <c r="A349" s="164" t="s">
        <v>586</v>
      </c>
      <c r="B349" s="163" t="s">
        <v>504</v>
      </c>
      <c r="C349" s="163" t="s">
        <v>256</v>
      </c>
      <c r="D349" s="163" t="s">
        <v>610</v>
      </c>
      <c r="E349" s="163" t="s">
        <v>6</v>
      </c>
      <c r="F349" s="167">
        <f t="shared" si="105"/>
        <v>4494748.6160000004</v>
      </c>
      <c r="G349" s="167">
        <f t="shared" si="105"/>
        <v>0</v>
      </c>
    </row>
    <row r="350" spans="1:8" ht="36" outlineLevel="7">
      <c r="A350" s="164" t="s">
        <v>37</v>
      </c>
      <c r="B350" s="163" t="s">
        <v>504</v>
      </c>
      <c r="C350" s="163" t="s">
        <v>256</v>
      </c>
      <c r="D350" s="163" t="s">
        <v>610</v>
      </c>
      <c r="E350" s="163" t="s">
        <v>38</v>
      </c>
      <c r="F350" s="167">
        <f t="shared" si="105"/>
        <v>4494748.6160000004</v>
      </c>
      <c r="G350" s="167">
        <f t="shared" si="105"/>
        <v>0</v>
      </c>
    </row>
    <row r="351" spans="1:8" outlineLevel="7">
      <c r="A351" s="164" t="s">
        <v>74</v>
      </c>
      <c r="B351" s="163" t="s">
        <v>504</v>
      </c>
      <c r="C351" s="163" t="s">
        <v>256</v>
      </c>
      <c r="D351" s="163" t="s">
        <v>610</v>
      </c>
      <c r="E351" s="163" t="s">
        <v>75</v>
      </c>
      <c r="F351" s="167">
        <f>4367650+127098.616</f>
        <v>4494748.6160000004</v>
      </c>
      <c r="G351" s="167">
        <v>0</v>
      </c>
    </row>
    <row r="352" spans="1:8" outlineLevel="7">
      <c r="A352" s="196" t="s">
        <v>79</v>
      </c>
      <c r="B352" s="197" t="s">
        <v>504</v>
      </c>
      <c r="C352" s="197" t="s">
        <v>80</v>
      </c>
      <c r="D352" s="197" t="s">
        <v>126</v>
      </c>
      <c r="E352" s="198" t="s">
        <v>6</v>
      </c>
      <c r="F352" s="171">
        <f>F353+F377</f>
        <v>39763747.549999997</v>
      </c>
      <c r="G352" s="171">
        <f>G353+G377</f>
        <v>38332823.850000001</v>
      </c>
    </row>
    <row r="353" spans="1:7" outlineLevel="7">
      <c r="A353" s="164" t="s">
        <v>81</v>
      </c>
      <c r="B353" s="163" t="s">
        <v>504</v>
      </c>
      <c r="C353" s="163" t="s">
        <v>82</v>
      </c>
      <c r="D353" s="163" t="s">
        <v>126</v>
      </c>
      <c r="E353" s="169" t="s">
        <v>6</v>
      </c>
      <c r="F353" s="167">
        <f>F354</f>
        <v>36462483.93</v>
      </c>
      <c r="G353" s="167">
        <f>G354</f>
        <v>38332823.850000001</v>
      </c>
    </row>
    <row r="354" spans="1:7" ht="54" outlineLevel="7">
      <c r="A354" s="196" t="s">
        <v>868</v>
      </c>
      <c r="B354" s="197" t="s">
        <v>504</v>
      </c>
      <c r="C354" s="197" t="s">
        <v>82</v>
      </c>
      <c r="D354" s="197" t="s">
        <v>136</v>
      </c>
      <c r="E354" s="198" t="s">
        <v>6</v>
      </c>
      <c r="F354" s="171">
        <f>F355+F372+F359</f>
        <v>36462483.93</v>
      </c>
      <c r="G354" s="171">
        <f>G355+G372+G359</f>
        <v>38332823.850000001</v>
      </c>
    </row>
    <row r="355" spans="1:7" ht="39.15" customHeight="1" outlineLevel="7">
      <c r="A355" s="164" t="s">
        <v>370</v>
      </c>
      <c r="B355" s="163" t="s">
        <v>504</v>
      </c>
      <c r="C355" s="163" t="s">
        <v>82</v>
      </c>
      <c r="D355" s="163" t="s">
        <v>227</v>
      </c>
      <c r="E355" s="169" t="s">
        <v>6</v>
      </c>
      <c r="F355" s="167">
        <f>F369+F366+F356</f>
        <v>9978834.7300000004</v>
      </c>
      <c r="G355" s="167">
        <f>G369+G366+G356</f>
        <v>10589257.890000001</v>
      </c>
    </row>
    <row r="356" spans="1:7" ht="54" outlineLevel="7">
      <c r="A356" s="33" t="s">
        <v>84</v>
      </c>
      <c r="B356" s="163" t="s">
        <v>504</v>
      </c>
      <c r="C356" s="163" t="s">
        <v>82</v>
      </c>
      <c r="D356" s="163" t="s">
        <v>141</v>
      </c>
      <c r="E356" s="169" t="s">
        <v>6</v>
      </c>
      <c r="F356" s="167">
        <f t="shared" ref="F356:G357" si="106">F357</f>
        <v>9805789.5800000001</v>
      </c>
      <c r="G356" s="167">
        <f t="shared" si="106"/>
        <v>10416212.74</v>
      </c>
    </row>
    <row r="357" spans="1:7" ht="36" outlineLevel="7">
      <c r="A357" s="164" t="s">
        <v>37</v>
      </c>
      <c r="B357" s="163" t="s">
        <v>504</v>
      </c>
      <c r="C357" s="163" t="s">
        <v>82</v>
      </c>
      <c r="D357" s="163" t="s">
        <v>141</v>
      </c>
      <c r="E357" s="169" t="s">
        <v>38</v>
      </c>
      <c r="F357" s="167">
        <f t="shared" si="106"/>
        <v>9805789.5800000001</v>
      </c>
      <c r="G357" s="167">
        <f t="shared" si="106"/>
        <v>10416212.74</v>
      </c>
    </row>
    <row r="358" spans="1:7" outlineLevel="7">
      <c r="A358" s="164" t="s">
        <v>74</v>
      </c>
      <c r="B358" s="163" t="s">
        <v>504</v>
      </c>
      <c r="C358" s="163" t="s">
        <v>82</v>
      </c>
      <c r="D358" s="163" t="s">
        <v>141</v>
      </c>
      <c r="E358" s="169" t="s">
        <v>75</v>
      </c>
      <c r="F358" s="218">
        <v>9805789.5800000001</v>
      </c>
      <c r="G358" s="218">
        <v>10416212.74</v>
      </c>
    </row>
    <row r="359" spans="1:7" ht="36" outlineLevel="7">
      <c r="A359" s="164" t="s">
        <v>689</v>
      </c>
      <c r="B359" s="163" t="s">
        <v>504</v>
      </c>
      <c r="C359" s="163" t="s">
        <v>82</v>
      </c>
      <c r="D359" s="163" t="s">
        <v>688</v>
      </c>
      <c r="E359" s="169" t="s">
        <v>6</v>
      </c>
      <c r="F359" s="167">
        <f>F360+F363</f>
        <v>25737149.199999999</v>
      </c>
      <c r="G359" s="167">
        <f>G360+G363</f>
        <v>26997065.960000001</v>
      </c>
    </row>
    <row r="360" spans="1:7" ht="36.75" customHeight="1" outlineLevel="3">
      <c r="A360" s="33" t="s">
        <v>84</v>
      </c>
      <c r="B360" s="163" t="s">
        <v>504</v>
      </c>
      <c r="C360" s="163" t="s">
        <v>82</v>
      </c>
      <c r="D360" s="163" t="s">
        <v>687</v>
      </c>
      <c r="E360" s="169" t="s">
        <v>6</v>
      </c>
      <c r="F360" s="167">
        <f t="shared" ref="F360:G361" si="107">F361</f>
        <v>25737149.199999999</v>
      </c>
      <c r="G360" s="167">
        <f t="shared" si="107"/>
        <v>26997065.960000001</v>
      </c>
    </row>
    <row r="361" spans="1:7" ht="36" outlineLevel="3">
      <c r="A361" s="164" t="s">
        <v>37</v>
      </c>
      <c r="B361" s="163" t="s">
        <v>504</v>
      </c>
      <c r="C361" s="163" t="s">
        <v>82</v>
      </c>
      <c r="D361" s="163" t="s">
        <v>687</v>
      </c>
      <c r="E361" s="169" t="s">
        <v>38</v>
      </c>
      <c r="F361" s="167">
        <f t="shared" si="107"/>
        <v>25737149.199999999</v>
      </c>
      <c r="G361" s="167">
        <f t="shared" si="107"/>
        <v>26997065.960000001</v>
      </c>
    </row>
    <row r="362" spans="1:7" ht="23.25" customHeight="1" outlineLevel="3">
      <c r="A362" s="164" t="s">
        <v>74</v>
      </c>
      <c r="B362" s="163" t="s">
        <v>504</v>
      </c>
      <c r="C362" s="163" t="s">
        <v>82</v>
      </c>
      <c r="D362" s="163" t="s">
        <v>687</v>
      </c>
      <c r="E362" s="169" t="s">
        <v>75</v>
      </c>
      <c r="F362" s="218">
        <v>25737149.199999999</v>
      </c>
      <c r="G362" s="218">
        <v>26997065.960000001</v>
      </c>
    </row>
    <row r="363" spans="1:7" ht="0.75" customHeight="1" outlineLevel="7">
      <c r="A363" s="210" t="s">
        <v>724</v>
      </c>
      <c r="B363" s="163" t="s">
        <v>504</v>
      </c>
      <c r="C363" s="163" t="s">
        <v>82</v>
      </c>
      <c r="D363" s="163" t="s">
        <v>726</v>
      </c>
      <c r="E363" s="169" t="s">
        <v>6</v>
      </c>
      <c r="F363" s="167">
        <f t="shared" ref="F363:G364" si="108">F364</f>
        <v>0</v>
      </c>
      <c r="G363" s="167">
        <f t="shared" si="108"/>
        <v>0</v>
      </c>
    </row>
    <row r="364" spans="1:7" ht="36" outlineLevel="5">
      <c r="A364" s="164" t="s">
        <v>37</v>
      </c>
      <c r="B364" s="163" t="s">
        <v>504</v>
      </c>
      <c r="C364" s="163" t="s">
        <v>82</v>
      </c>
      <c r="D364" s="163" t="s">
        <v>726</v>
      </c>
      <c r="E364" s="169" t="s">
        <v>38</v>
      </c>
      <c r="F364" s="167">
        <f t="shared" si="108"/>
        <v>0</v>
      </c>
      <c r="G364" s="167">
        <f t="shared" si="108"/>
        <v>0</v>
      </c>
    </row>
    <row r="365" spans="1:7" hidden="1" outlineLevel="6">
      <c r="A365" s="210" t="s">
        <v>74</v>
      </c>
      <c r="B365" s="163" t="s">
        <v>504</v>
      </c>
      <c r="C365" s="163" t="s">
        <v>82</v>
      </c>
      <c r="D365" s="163" t="s">
        <v>726</v>
      </c>
      <c r="E365" s="169" t="s">
        <v>75</v>
      </c>
      <c r="F365" s="218"/>
      <c r="G365" s="218"/>
    </row>
    <row r="366" spans="1:7" ht="90" outlineLevel="7">
      <c r="A366" s="187" t="s">
        <v>393</v>
      </c>
      <c r="B366" s="163" t="s">
        <v>504</v>
      </c>
      <c r="C366" s="163" t="s">
        <v>82</v>
      </c>
      <c r="D366" s="163" t="s">
        <v>294</v>
      </c>
      <c r="E366" s="169" t="s">
        <v>6</v>
      </c>
      <c r="F366" s="167">
        <f t="shared" ref="F366:G367" si="109">F367</f>
        <v>168005</v>
      </c>
      <c r="G366" s="167">
        <f t="shared" si="109"/>
        <v>168005</v>
      </c>
    </row>
    <row r="367" spans="1:7" ht="36" outlineLevel="7">
      <c r="A367" s="164" t="s">
        <v>37</v>
      </c>
      <c r="B367" s="163" t="s">
        <v>504</v>
      </c>
      <c r="C367" s="163" t="s">
        <v>82</v>
      </c>
      <c r="D367" s="163" t="s">
        <v>294</v>
      </c>
      <c r="E367" s="169" t="s">
        <v>38</v>
      </c>
      <c r="F367" s="167">
        <f t="shared" si="109"/>
        <v>168005</v>
      </c>
      <c r="G367" s="167">
        <f t="shared" si="109"/>
        <v>168005</v>
      </c>
    </row>
    <row r="368" spans="1:7" outlineLevel="7">
      <c r="A368" s="164" t="s">
        <v>74</v>
      </c>
      <c r="B368" s="163" t="s">
        <v>504</v>
      </c>
      <c r="C368" s="163" t="s">
        <v>82</v>
      </c>
      <c r="D368" s="163" t="s">
        <v>294</v>
      </c>
      <c r="E368" s="169" t="s">
        <v>75</v>
      </c>
      <c r="F368" s="218">
        <v>168005</v>
      </c>
      <c r="G368" s="218">
        <v>168005</v>
      </c>
    </row>
    <row r="369" spans="1:8" ht="72" outlineLevel="7">
      <c r="A369" s="164" t="s">
        <v>307</v>
      </c>
      <c r="B369" s="163" t="s">
        <v>504</v>
      </c>
      <c r="C369" s="163" t="s">
        <v>82</v>
      </c>
      <c r="D369" s="163" t="s">
        <v>308</v>
      </c>
      <c r="E369" s="169" t="s">
        <v>6</v>
      </c>
      <c r="F369" s="167">
        <f t="shared" ref="F369:G370" si="110">F370</f>
        <v>5040.1499999999996</v>
      </c>
      <c r="G369" s="167">
        <f t="shared" si="110"/>
        <v>5040.1499999999996</v>
      </c>
    </row>
    <row r="370" spans="1:8" ht="36" outlineLevel="7">
      <c r="A370" s="164" t="s">
        <v>37</v>
      </c>
      <c r="B370" s="163" t="s">
        <v>504</v>
      </c>
      <c r="C370" s="163" t="s">
        <v>82</v>
      </c>
      <c r="D370" s="163" t="s">
        <v>308</v>
      </c>
      <c r="E370" s="169" t="s">
        <v>38</v>
      </c>
      <c r="F370" s="167">
        <f t="shared" si="110"/>
        <v>5040.1499999999996</v>
      </c>
      <c r="G370" s="167">
        <f t="shared" si="110"/>
        <v>5040.1499999999996</v>
      </c>
    </row>
    <row r="371" spans="1:8" outlineLevel="7">
      <c r="A371" s="164" t="s">
        <v>74</v>
      </c>
      <c r="B371" s="163" t="s">
        <v>504</v>
      </c>
      <c r="C371" s="163" t="s">
        <v>82</v>
      </c>
      <c r="D371" s="163" t="s">
        <v>308</v>
      </c>
      <c r="E371" s="169" t="s">
        <v>75</v>
      </c>
      <c r="F371" s="184">
        <v>5040.1499999999996</v>
      </c>
      <c r="G371" s="184">
        <v>5040.1499999999996</v>
      </c>
    </row>
    <row r="372" spans="1:8" ht="36" outlineLevel="7">
      <c r="A372" s="164" t="s">
        <v>211</v>
      </c>
      <c r="B372" s="163" t="s">
        <v>504</v>
      </c>
      <c r="C372" s="163" t="s">
        <v>82</v>
      </c>
      <c r="D372" s="163" t="s">
        <v>229</v>
      </c>
      <c r="E372" s="169" t="s">
        <v>6</v>
      </c>
      <c r="F372" s="184">
        <f t="shared" ref="F372:G373" si="111">F373</f>
        <v>746500</v>
      </c>
      <c r="G372" s="184">
        <f t="shared" si="111"/>
        <v>746500</v>
      </c>
    </row>
    <row r="373" spans="1:8" outlineLevel="7">
      <c r="A373" s="164" t="s">
        <v>83</v>
      </c>
      <c r="B373" s="163" t="s">
        <v>504</v>
      </c>
      <c r="C373" s="163" t="s">
        <v>82</v>
      </c>
      <c r="D373" s="163" t="s">
        <v>140</v>
      </c>
      <c r="E373" s="169" t="s">
        <v>6</v>
      </c>
      <c r="F373" s="167">
        <f t="shared" si="111"/>
        <v>746500</v>
      </c>
      <c r="G373" s="167">
        <f t="shared" si="111"/>
        <v>746500</v>
      </c>
    </row>
    <row r="374" spans="1:8" s="266" customFormat="1" ht="36" outlineLevel="1">
      <c r="A374" s="164" t="s">
        <v>37</v>
      </c>
      <c r="B374" s="163" t="s">
        <v>504</v>
      </c>
      <c r="C374" s="163" t="s">
        <v>82</v>
      </c>
      <c r="D374" s="163" t="s">
        <v>140</v>
      </c>
      <c r="E374" s="169" t="s">
        <v>38</v>
      </c>
      <c r="F374" s="167">
        <f t="shared" ref="F374:G374" si="112">F375+F376</f>
        <v>746500</v>
      </c>
      <c r="G374" s="167">
        <f t="shared" si="112"/>
        <v>746500</v>
      </c>
      <c r="H374" s="265"/>
    </row>
    <row r="375" spans="1:8" outlineLevel="2">
      <c r="A375" s="164" t="s">
        <v>74</v>
      </c>
      <c r="B375" s="163" t="s">
        <v>504</v>
      </c>
      <c r="C375" s="163" t="s">
        <v>82</v>
      </c>
      <c r="D375" s="163" t="s">
        <v>140</v>
      </c>
      <c r="E375" s="169" t="s">
        <v>75</v>
      </c>
      <c r="F375" s="167">
        <v>632500</v>
      </c>
      <c r="G375" s="167">
        <v>632500</v>
      </c>
    </row>
    <row r="376" spans="1:8" ht="55.5" customHeight="1" outlineLevel="4">
      <c r="A376" s="164" t="s">
        <v>371</v>
      </c>
      <c r="B376" s="163" t="s">
        <v>504</v>
      </c>
      <c r="C376" s="163" t="s">
        <v>82</v>
      </c>
      <c r="D376" s="163" t="s">
        <v>140</v>
      </c>
      <c r="E376" s="169" t="s">
        <v>252</v>
      </c>
      <c r="F376" s="167">
        <v>114000</v>
      </c>
      <c r="G376" s="167">
        <v>114000</v>
      </c>
    </row>
    <row r="377" spans="1:8" ht="28.5" customHeight="1" outlineLevel="5">
      <c r="A377" s="164" t="s">
        <v>526</v>
      </c>
      <c r="B377" s="163" t="s">
        <v>504</v>
      </c>
      <c r="C377" s="163" t="s">
        <v>527</v>
      </c>
      <c r="D377" s="163" t="s">
        <v>126</v>
      </c>
      <c r="E377" s="163" t="s">
        <v>6</v>
      </c>
      <c r="F377" s="167">
        <f>F378+F383</f>
        <v>3301263.62</v>
      </c>
      <c r="G377" s="167">
        <f t="shared" ref="F377:G381" si="113">G378</f>
        <v>0</v>
      </c>
    </row>
    <row r="378" spans="1:8" ht="51.6" hidden="1" customHeight="1" outlineLevel="6">
      <c r="A378" s="164" t="s">
        <v>369</v>
      </c>
      <c r="B378" s="163" t="s">
        <v>504</v>
      </c>
      <c r="C378" s="163" t="s">
        <v>527</v>
      </c>
      <c r="D378" s="163" t="s">
        <v>136</v>
      </c>
      <c r="E378" s="163" t="s">
        <v>6</v>
      </c>
      <c r="F378" s="167">
        <f t="shared" si="113"/>
        <v>0</v>
      </c>
      <c r="G378" s="167">
        <f t="shared" si="113"/>
        <v>0</v>
      </c>
    </row>
    <row r="379" spans="1:8" ht="40.65" hidden="1" customHeight="1" outlineLevel="7">
      <c r="A379" s="164" t="s">
        <v>211</v>
      </c>
      <c r="B379" s="163" t="s">
        <v>504</v>
      </c>
      <c r="C379" s="163" t="s">
        <v>527</v>
      </c>
      <c r="D379" s="163" t="s">
        <v>229</v>
      </c>
      <c r="E379" s="163" t="s">
        <v>6</v>
      </c>
      <c r="F379" s="167">
        <f t="shared" si="113"/>
        <v>0</v>
      </c>
      <c r="G379" s="167">
        <f t="shared" si="113"/>
        <v>0</v>
      </c>
    </row>
    <row r="380" spans="1:8" ht="93.75" hidden="1" customHeight="1" outlineLevel="7">
      <c r="A380" s="164" t="s">
        <v>903</v>
      </c>
      <c r="B380" s="163" t="s">
        <v>504</v>
      </c>
      <c r="C380" s="163" t="s">
        <v>527</v>
      </c>
      <c r="D380" s="163" t="s">
        <v>902</v>
      </c>
      <c r="E380" s="163" t="s">
        <v>6</v>
      </c>
      <c r="F380" s="167">
        <f t="shared" si="113"/>
        <v>0</v>
      </c>
      <c r="G380" s="167">
        <f t="shared" si="113"/>
        <v>0</v>
      </c>
    </row>
    <row r="381" spans="1:8" s="266" customFormat="1" ht="23.25" hidden="1" customHeight="1" outlineLevel="7">
      <c r="A381" s="164" t="s">
        <v>37</v>
      </c>
      <c r="B381" s="163" t="s">
        <v>504</v>
      </c>
      <c r="C381" s="163" t="s">
        <v>527</v>
      </c>
      <c r="D381" s="163" t="s">
        <v>902</v>
      </c>
      <c r="E381" s="163" t="s">
        <v>38</v>
      </c>
      <c r="F381" s="167">
        <f t="shared" si="113"/>
        <v>0</v>
      </c>
      <c r="G381" s="167">
        <f t="shared" si="113"/>
        <v>0</v>
      </c>
      <c r="H381" s="265"/>
    </row>
    <row r="382" spans="1:8" ht="20.25" hidden="1" customHeight="1" outlineLevel="7">
      <c r="A382" s="164" t="s">
        <v>74</v>
      </c>
      <c r="B382" s="163" t="s">
        <v>504</v>
      </c>
      <c r="C382" s="163" t="s">
        <v>527</v>
      </c>
      <c r="D382" s="163" t="s">
        <v>902</v>
      </c>
      <c r="E382" s="163" t="s">
        <v>75</v>
      </c>
      <c r="F382" s="167">
        <v>0</v>
      </c>
      <c r="G382" s="167"/>
    </row>
    <row r="383" spans="1:8" ht="62.55" customHeight="1" outlineLevel="7">
      <c r="A383" s="343" t="s">
        <v>876</v>
      </c>
      <c r="B383" s="197" t="s">
        <v>504</v>
      </c>
      <c r="C383" s="197" t="s">
        <v>527</v>
      </c>
      <c r="D383" s="197" t="s">
        <v>331</v>
      </c>
      <c r="E383" s="197" t="s">
        <v>6</v>
      </c>
      <c r="F383" s="167">
        <f>F384</f>
        <v>3301263.62</v>
      </c>
      <c r="G383" s="167">
        <v>0</v>
      </c>
    </row>
    <row r="384" spans="1:8" ht="39.450000000000003" customHeight="1" outlineLevel="7">
      <c r="A384" s="164" t="s">
        <v>345</v>
      </c>
      <c r="B384" s="163" t="s">
        <v>504</v>
      </c>
      <c r="C384" s="163" t="s">
        <v>527</v>
      </c>
      <c r="D384" s="163" t="s">
        <v>332</v>
      </c>
      <c r="E384" s="163" t="s">
        <v>6</v>
      </c>
      <c r="F384" s="167">
        <f>F385</f>
        <v>3301263.62</v>
      </c>
      <c r="G384" s="167">
        <v>0</v>
      </c>
    </row>
    <row r="385" spans="1:8" ht="20.25" customHeight="1" outlineLevel="7">
      <c r="A385" s="164" t="s">
        <v>942</v>
      </c>
      <c r="B385" s="163" t="s">
        <v>504</v>
      </c>
      <c r="C385" s="163" t="s">
        <v>527</v>
      </c>
      <c r="D385" s="163" t="s">
        <v>941</v>
      </c>
      <c r="E385" s="163" t="s">
        <v>6</v>
      </c>
      <c r="F385" s="167">
        <f>F386</f>
        <v>3301263.62</v>
      </c>
      <c r="G385" s="167">
        <v>0</v>
      </c>
    </row>
    <row r="386" spans="1:8" ht="20.25" customHeight="1" outlineLevel="7">
      <c r="A386" s="164" t="s">
        <v>15</v>
      </c>
      <c r="B386" s="163" t="s">
        <v>504</v>
      </c>
      <c r="C386" s="163" t="s">
        <v>527</v>
      </c>
      <c r="D386" s="163" t="s">
        <v>941</v>
      </c>
      <c r="E386" s="163" t="s">
        <v>16</v>
      </c>
      <c r="F386" s="167">
        <f>F387</f>
        <v>3301263.62</v>
      </c>
      <c r="G386" s="167">
        <v>0</v>
      </c>
    </row>
    <row r="387" spans="1:8" ht="20.25" customHeight="1" outlineLevel="7">
      <c r="A387" s="164" t="s">
        <v>17</v>
      </c>
      <c r="B387" s="163" t="s">
        <v>504</v>
      </c>
      <c r="C387" s="163" t="s">
        <v>527</v>
      </c>
      <c r="D387" s="163" t="s">
        <v>941</v>
      </c>
      <c r="E387" s="163" t="s">
        <v>18</v>
      </c>
      <c r="F387" s="167">
        <v>3301263.62</v>
      </c>
      <c r="G387" s="167">
        <v>0</v>
      </c>
    </row>
    <row r="388" spans="1:8" outlineLevel="7">
      <c r="A388" s="196" t="s">
        <v>85</v>
      </c>
      <c r="B388" s="197" t="s">
        <v>504</v>
      </c>
      <c r="C388" s="197" t="s">
        <v>86</v>
      </c>
      <c r="D388" s="197" t="s">
        <v>126</v>
      </c>
      <c r="E388" s="198" t="s">
        <v>6</v>
      </c>
      <c r="F388" s="171">
        <f>F389+F394+F409</f>
        <v>65563342.649999999</v>
      </c>
      <c r="G388" s="171">
        <f>G389+G394+G409</f>
        <v>66325122.359999999</v>
      </c>
    </row>
    <row r="389" spans="1:8" outlineLevel="7">
      <c r="A389" s="164" t="s">
        <v>87</v>
      </c>
      <c r="B389" s="163" t="s">
        <v>504</v>
      </c>
      <c r="C389" s="163" t="s">
        <v>88</v>
      </c>
      <c r="D389" s="163" t="s">
        <v>126</v>
      </c>
      <c r="E389" s="169" t="s">
        <v>6</v>
      </c>
      <c r="F389" s="167">
        <f t="shared" ref="F389:G392" si="114">F390</f>
        <v>5386176</v>
      </c>
      <c r="G389" s="167">
        <f t="shared" si="114"/>
        <v>5386176</v>
      </c>
    </row>
    <row r="390" spans="1:8" ht="36" outlineLevel="7">
      <c r="A390" s="196" t="s">
        <v>132</v>
      </c>
      <c r="B390" s="197" t="s">
        <v>504</v>
      </c>
      <c r="C390" s="197" t="s">
        <v>88</v>
      </c>
      <c r="D390" s="197" t="s">
        <v>127</v>
      </c>
      <c r="E390" s="198" t="s">
        <v>6</v>
      </c>
      <c r="F390" s="171">
        <f t="shared" si="114"/>
        <v>5386176</v>
      </c>
      <c r="G390" s="171">
        <f t="shared" si="114"/>
        <v>5386176</v>
      </c>
    </row>
    <row r="391" spans="1:8" s="266" customFormat="1" ht="26.4" customHeight="1" outlineLevel="7">
      <c r="A391" s="164" t="s">
        <v>89</v>
      </c>
      <c r="B391" s="163" t="s">
        <v>504</v>
      </c>
      <c r="C391" s="163" t="s">
        <v>88</v>
      </c>
      <c r="D391" s="163" t="s">
        <v>142</v>
      </c>
      <c r="E391" s="169" t="s">
        <v>6</v>
      </c>
      <c r="F391" s="167">
        <f t="shared" si="114"/>
        <v>5386176</v>
      </c>
      <c r="G391" s="167">
        <f t="shared" si="114"/>
        <v>5386176</v>
      </c>
      <c r="H391" s="265"/>
    </row>
    <row r="392" spans="1:8" ht="25.5" customHeight="1" outlineLevel="7">
      <c r="A392" s="164" t="s">
        <v>90</v>
      </c>
      <c r="B392" s="163" t="s">
        <v>504</v>
      </c>
      <c r="C392" s="163" t="s">
        <v>88</v>
      </c>
      <c r="D392" s="163" t="s">
        <v>142</v>
      </c>
      <c r="E392" s="169" t="s">
        <v>91</v>
      </c>
      <c r="F392" s="167">
        <f t="shared" si="114"/>
        <v>5386176</v>
      </c>
      <c r="G392" s="167">
        <f t="shared" si="114"/>
        <v>5386176</v>
      </c>
    </row>
    <row r="393" spans="1:8" ht="36" outlineLevel="7">
      <c r="A393" s="164" t="s">
        <v>92</v>
      </c>
      <c r="B393" s="163" t="s">
        <v>504</v>
      </c>
      <c r="C393" s="163" t="s">
        <v>88</v>
      </c>
      <c r="D393" s="163" t="s">
        <v>142</v>
      </c>
      <c r="E393" s="169" t="s">
        <v>93</v>
      </c>
      <c r="F393" s="218">
        <v>5386176</v>
      </c>
      <c r="G393" s="218">
        <v>5386176</v>
      </c>
    </row>
    <row r="394" spans="1:8" outlineLevel="7">
      <c r="A394" s="164" t="s">
        <v>94</v>
      </c>
      <c r="B394" s="163" t="s">
        <v>504</v>
      </c>
      <c r="C394" s="163" t="s">
        <v>95</v>
      </c>
      <c r="D394" s="163" t="s">
        <v>126</v>
      </c>
      <c r="E394" s="169" t="s">
        <v>6</v>
      </c>
      <c r="F394" s="167">
        <f>F395+F405+F400</f>
        <v>1052327.6499999999</v>
      </c>
      <c r="G394" s="167">
        <f>G395+G405+G400</f>
        <v>1109633.22</v>
      </c>
    </row>
    <row r="395" spans="1:8" ht="54" outlineLevel="7">
      <c r="A395" s="196" t="s">
        <v>884</v>
      </c>
      <c r="B395" s="163" t="s">
        <v>504</v>
      </c>
      <c r="C395" s="197" t="s">
        <v>95</v>
      </c>
      <c r="D395" s="197" t="s">
        <v>129</v>
      </c>
      <c r="E395" s="198" t="s">
        <v>6</v>
      </c>
      <c r="F395" s="171">
        <f t="shared" ref="F395:G395" si="115">F396</f>
        <v>150000</v>
      </c>
      <c r="G395" s="171">
        <f t="shared" si="115"/>
        <v>150000</v>
      </c>
    </row>
    <row r="396" spans="1:8" ht="44.4" customHeight="1" outlineLevel="7">
      <c r="A396" s="164" t="s">
        <v>372</v>
      </c>
      <c r="B396" s="163" t="s">
        <v>504</v>
      </c>
      <c r="C396" s="163" t="s">
        <v>95</v>
      </c>
      <c r="D396" s="163" t="s">
        <v>441</v>
      </c>
      <c r="E396" s="169" t="s">
        <v>6</v>
      </c>
      <c r="F396" s="167">
        <f>F397</f>
        <v>150000</v>
      </c>
      <c r="G396" s="167">
        <f>G397</f>
        <v>150000</v>
      </c>
    </row>
    <row r="397" spans="1:8" ht="36" outlineLevel="7">
      <c r="A397" s="164" t="s">
        <v>99</v>
      </c>
      <c r="B397" s="163" t="s">
        <v>504</v>
      </c>
      <c r="C397" s="163" t="s">
        <v>95</v>
      </c>
      <c r="D397" s="163" t="s">
        <v>416</v>
      </c>
      <c r="E397" s="169" t="s">
        <v>6</v>
      </c>
      <c r="F397" s="167">
        <f t="shared" ref="F397:G398" si="116">F398</f>
        <v>150000</v>
      </c>
      <c r="G397" s="167">
        <f t="shared" si="116"/>
        <v>150000</v>
      </c>
    </row>
    <row r="398" spans="1:8" outlineLevel="7">
      <c r="A398" s="164" t="s">
        <v>90</v>
      </c>
      <c r="B398" s="163" t="s">
        <v>504</v>
      </c>
      <c r="C398" s="163" t="s">
        <v>95</v>
      </c>
      <c r="D398" s="163" t="s">
        <v>416</v>
      </c>
      <c r="E398" s="169" t="s">
        <v>91</v>
      </c>
      <c r="F398" s="167">
        <f t="shared" si="116"/>
        <v>150000</v>
      </c>
      <c r="G398" s="167">
        <f t="shared" si="116"/>
        <v>150000</v>
      </c>
    </row>
    <row r="399" spans="1:8" ht="36" outlineLevel="7">
      <c r="A399" s="164" t="s">
        <v>97</v>
      </c>
      <c r="B399" s="163" t="s">
        <v>504</v>
      </c>
      <c r="C399" s="163" t="s">
        <v>95</v>
      </c>
      <c r="D399" s="163" t="s">
        <v>416</v>
      </c>
      <c r="E399" s="169" t="s">
        <v>98</v>
      </c>
      <c r="F399" s="218">
        <v>150000</v>
      </c>
      <c r="G399" s="218">
        <v>150000</v>
      </c>
    </row>
    <row r="400" spans="1:8" ht="54" outlineLevel="1">
      <c r="A400" s="196" t="s">
        <v>885</v>
      </c>
      <c r="B400" s="163" t="s">
        <v>504</v>
      </c>
      <c r="C400" s="197" t="s">
        <v>95</v>
      </c>
      <c r="D400" s="197" t="s">
        <v>374</v>
      </c>
      <c r="E400" s="198" t="s">
        <v>6</v>
      </c>
      <c r="F400" s="209">
        <f t="shared" ref="F400:G403" si="117">F401</f>
        <v>802327.65</v>
      </c>
      <c r="G400" s="209">
        <f t="shared" si="117"/>
        <v>859633.22</v>
      </c>
    </row>
    <row r="401" spans="1:8" ht="62.4" customHeight="1" outlineLevel="1">
      <c r="A401" s="164" t="s">
        <v>394</v>
      </c>
      <c r="B401" s="163" t="s">
        <v>504</v>
      </c>
      <c r="C401" s="163" t="s">
        <v>95</v>
      </c>
      <c r="D401" s="163" t="s">
        <v>375</v>
      </c>
      <c r="E401" s="169" t="s">
        <v>6</v>
      </c>
      <c r="F401" s="184">
        <f t="shared" si="117"/>
        <v>802327.65</v>
      </c>
      <c r="G401" s="184">
        <f t="shared" si="117"/>
        <v>859633.22</v>
      </c>
    </row>
    <row r="402" spans="1:8" ht="36" outlineLevel="1">
      <c r="A402" s="164" t="s">
        <v>96</v>
      </c>
      <c r="B402" s="163" t="s">
        <v>504</v>
      </c>
      <c r="C402" s="163" t="s">
        <v>95</v>
      </c>
      <c r="D402" s="163" t="s">
        <v>376</v>
      </c>
      <c r="E402" s="169" t="s">
        <v>6</v>
      </c>
      <c r="F402" s="167">
        <f t="shared" si="117"/>
        <v>802327.65</v>
      </c>
      <c r="G402" s="167">
        <f t="shared" si="117"/>
        <v>859633.22</v>
      </c>
    </row>
    <row r="403" spans="1:8" outlineLevel="1">
      <c r="A403" s="164" t="s">
        <v>90</v>
      </c>
      <c r="B403" s="163" t="s">
        <v>504</v>
      </c>
      <c r="C403" s="163" t="s">
        <v>95</v>
      </c>
      <c r="D403" s="163" t="s">
        <v>376</v>
      </c>
      <c r="E403" s="169" t="s">
        <v>91</v>
      </c>
      <c r="F403" s="184">
        <f t="shared" si="117"/>
        <v>802327.65</v>
      </c>
      <c r="G403" s="184">
        <f t="shared" si="117"/>
        <v>859633.22</v>
      </c>
    </row>
    <row r="404" spans="1:8" ht="36" outlineLevel="1">
      <c r="A404" s="164" t="s">
        <v>97</v>
      </c>
      <c r="B404" s="163" t="s">
        <v>504</v>
      </c>
      <c r="C404" s="163" t="s">
        <v>95</v>
      </c>
      <c r="D404" s="163" t="s">
        <v>376</v>
      </c>
      <c r="E404" s="169" t="s">
        <v>98</v>
      </c>
      <c r="F404" s="167">
        <f>628827.65+173500</f>
        <v>802327.65</v>
      </c>
      <c r="G404" s="167">
        <f>686133.22+173500</f>
        <v>859633.22</v>
      </c>
    </row>
    <row r="405" spans="1:8" ht="36" outlineLevel="1">
      <c r="A405" s="196" t="s">
        <v>132</v>
      </c>
      <c r="B405" s="197" t="s">
        <v>504</v>
      </c>
      <c r="C405" s="197" t="s">
        <v>95</v>
      </c>
      <c r="D405" s="197" t="s">
        <v>127</v>
      </c>
      <c r="E405" s="198" t="s">
        <v>6</v>
      </c>
      <c r="F405" s="209">
        <f t="shared" ref="F405:G407" si="118">F406</f>
        <v>100000</v>
      </c>
      <c r="G405" s="209">
        <f t="shared" si="118"/>
        <v>100000</v>
      </c>
    </row>
    <row r="406" spans="1:8" ht="36" outlineLevel="1">
      <c r="A406" s="164" t="s">
        <v>530</v>
      </c>
      <c r="B406" s="163" t="s">
        <v>504</v>
      </c>
      <c r="C406" s="163" t="s">
        <v>95</v>
      </c>
      <c r="D406" s="163" t="s">
        <v>543</v>
      </c>
      <c r="E406" s="169" t="s">
        <v>6</v>
      </c>
      <c r="F406" s="184">
        <f t="shared" si="118"/>
        <v>100000</v>
      </c>
      <c r="G406" s="184">
        <f t="shared" si="118"/>
        <v>100000</v>
      </c>
    </row>
    <row r="407" spans="1:8" outlineLevel="1">
      <c r="A407" s="164" t="s">
        <v>90</v>
      </c>
      <c r="B407" s="163" t="s">
        <v>504</v>
      </c>
      <c r="C407" s="163" t="s">
        <v>95</v>
      </c>
      <c r="D407" s="163" t="s">
        <v>543</v>
      </c>
      <c r="E407" s="169" t="s">
        <v>91</v>
      </c>
      <c r="F407" s="184">
        <f t="shared" si="118"/>
        <v>100000</v>
      </c>
      <c r="G407" s="184">
        <f t="shared" si="118"/>
        <v>100000</v>
      </c>
    </row>
    <row r="408" spans="1:8" ht="20.25" customHeight="1" outlineLevel="1">
      <c r="A408" s="164" t="s">
        <v>309</v>
      </c>
      <c r="B408" s="163" t="s">
        <v>504</v>
      </c>
      <c r="C408" s="163" t="s">
        <v>95</v>
      </c>
      <c r="D408" s="163" t="s">
        <v>543</v>
      </c>
      <c r="E408" s="169" t="s">
        <v>310</v>
      </c>
      <c r="F408" s="167">
        <f>потребность!I407</f>
        <v>100000</v>
      </c>
      <c r="G408" s="167">
        <v>100000</v>
      </c>
    </row>
    <row r="409" spans="1:8" outlineLevel="1">
      <c r="A409" s="164" t="s">
        <v>123</v>
      </c>
      <c r="B409" s="163" t="s">
        <v>504</v>
      </c>
      <c r="C409" s="163" t="s">
        <v>124</v>
      </c>
      <c r="D409" s="163" t="s">
        <v>126</v>
      </c>
      <c r="E409" s="169" t="s">
        <v>6</v>
      </c>
      <c r="F409" s="184">
        <f t="shared" ref="F409:G410" si="119">F410</f>
        <v>59124839</v>
      </c>
      <c r="G409" s="184">
        <f t="shared" si="119"/>
        <v>59829313.140000001</v>
      </c>
    </row>
    <row r="410" spans="1:8" ht="36" outlineLevel="1">
      <c r="A410" s="196" t="s">
        <v>132</v>
      </c>
      <c r="B410" s="197" t="s">
        <v>504</v>
      </c>
      <c r="C410" s="197" t="s">
        <v>124</v>
      </c>
      <c r="D410" s="197" t="s">
        <v>127</v>
      </c>
      <c r="E410" s="198" t="s">
        <v>6</v>
      </c>
      <c r="F410" s="209">
        <f t="shared" si="119"/>
        <v>59124839</v>
      </c>
      <c r="G410" s="209">
        <f t="shared" si="119"/>
        <v>59829313.140000001</v>
      </c>
    </row>
    <row r="411" spans="1:8" outlineLevel="1">
      <c r="A411" s="164" t="s">
        <v>277</v>
      </c>
      <c r="B411" s="163" t="s">
        <v>504</v>
      </c>
      <c r="C411" s="163" t="s">
        <v>124</v>
      </c>
      <c r="D411" s="163" t="s">
        <v>276</v>
      </c>
      <c r="E411" s="169" t="s">
        <v>6</v>
      </c>
      <c r="F411" s="184">
        <f>F424+F412+F415+F421+F427</f>
        <v>59124839</v>
      </c>
      <c r="G411" s="184">
        <f>G424+G412+G415+G421+G427</f>
        <v>59829313.140000001</v>
      </c>
    </row>
    <row r="412" spans="1:8" ht="95.25" hidden="1" customHeight="1" outlineLevel="1">
      <c r="A412" s="164" t="s">
        <v>429</v>
      </c>
      <c r="B412" s="163" t="s">
        <v>504</v>
      </c>
      <c r="C412" s="163" t="s">
        <v>124</v>
      </c>
      <c r="D412" s="163" t="s">
        <v>430</v>
      </c>
      <c r="E412" s="169" t="s">
        <v>6</v>
      </c>
      <c r="F412" s="167">
        <f t="shared" ref="F412:G413" si="120">F413</f>
        <v>0</v>
      </c>
      <c r="G412" s="167">
        <f t="shared" si="120"/>
        <v>0</v>
      </c>
    </row>
    <row r="413" spans="1:8" hidden="1" outlineLevel="1">
      <c r="A413" s="164" t="s">
        <v>90</v>
      </c>
      <c r="B413" s="163" t="s">
        <v>504</v>
      </c>
      <c r="C413" s="163" t="s">
        <v>124</v>
      </c>
      <c r="D413" s="163" t="s">
        <v>430</v>
      </c>
      <c r="E413" s="169" t="s">
        <v>91</v>
      </c>
      <c r="F413" s="167">
        <f t="shared" si="120"/>
        <v>0</v>
      </c>
      <c r="G413" s="167">
        <f t="shared" si="120"/>
        <v>0</v>
      </c>
    </row>
    <row r="414" spans="1:8" ht="36" hidden="1" outlineLevel="1">
      <c r="A414" s="164" t="s">
        <v>92</v>
      </c>
      <c r="B414" s="163" t="s">
        <v>504</v>
      </c>
      <c r="C414" s="163" t="s">
        <v>124</v>
      </c>
      <c r="D414" s="163" t="s">
        <v>430</v>
      </c>
      <c r="E414" s="169" t="s">
        <v>93</v>
      </c>
      <c r="F414" s="167">
        <f>1325680.27-1325680.27</f>
        <v>0</v>
      </c>
      <c r="G414" s="167">
        <f>1378706.84-1378706.84</f>
        <v>0</v>
      </c>
    </row>
    <row r="415" spans="1:8" s="266" customFormat="1" ht="108" outlineLevel="1">
      <c r="A415" s="187" t="s">
        <v>431</v>
      </c>
      <c r="B415" s="163" t="s">
        <v>504</v>
      </c>
      <c r="C415" s="163" t="s">
        <v>124</v>
      </c>
      <c r="D415" s="163" t="s">
        <v>432</v>
      </c>
      <c r="E415" s="169" t="s">
        <v>6</v>
      </c>
      <c r="F415" s="167">
        <f>F416+F418</f>
        <v>22604954.34</v>
      </c>
      <c r="G415" s="167">
        <f>G416+G418</f>
        <v>23309428.48</v>
      </c>
      <c r="H415" s="265"/>
    </row>
    <row r="416" spans="1:8" ht="36" outlineLevel="1">
      <c r="A416" s="164" t="s">
        <v>15</v>
      </c>
      <c r="B416" s="163" t="s">
        <v>504</v>
      </c>
      <c r="C416" s="163" t="s">
        <v>124</v>
      </c>
      <c r="D416" s="163" t="s">
        <v>432</v>
      </c>
      <c r="E416" s="169" t="s">
        <v>16</v>
      </c>
      <c r="F416" s="167">
        <f>F417</f>
        <v>130000</v>
      </c>
      <c r="G416" s="167">
        <f>G417</f>
        <v>130000</v>
      </c>
    </row>
    <row r="417" spans="1:8" s="266" customFormat="1" ht="37.5" customHeight="1" outlineLevel="1">
      <c r="A417" s="164" t="s">
        <v>17</v>
      </c>
      <c r="B417" s="163" t="s">
        <v>504</v>
      </c>
      <c r="C417" s="163" t="s">
        <v>124</v>
      </c>
      <c r="D417" s="163" t="s">
        <v>432</v>
      </c>
      <c r="E417" s="169" t="s">
        <v>18</v>
      </c>
      <c r="F417" s="167">
        <v>130000</v>
      </c>
      <c r="G417" s="167">
        <v>130000</v>
      </c>
      <c r="H417" s="265"/>
    </row>
    <row r="418" spans="1:8" outlineLevel="1">
      <c r="A418" s="164" t="s">
        <v>90</v>
      </c>
      <c r="B418" s="163" t="s">
        <v>504</v>
      </c>
      <c r="C418" s="163" t="s">
        <v>124</v>
      </c>
      <c r="D418" s="163" t="s">
        <v>432</v>
      </c>
      <c r="E418" s="169" t="s">
        <v>91</v>
      </c>
      <c r="F418" s="167">
        <f>F419+F420</f>
        <v>22474954.34</v>
      </c>
      <c r="G418" s="167">
        <f>G419+G420</f>
        <v>23179428.48</v>
      </c>
    </row>
    <row r="419" spans="1:8" ht="21.15" customHeight="1" outlineLevel="1">
      <c r="A419" s="164" t="s">
        <v>92</v>
      </c>
      <c r="B419" s="163" t="s">
        <v>504</v>
      </c>
      <c r="C419" s="163" t="s">
        <v>124</v>
      </c>
      <c r="D419" s="163" t="s">
        <v>432</v>
      </c>
      <c r="E419" s="169" t="s">
        <v>93</v>
      </c>
      <c r="F419" s="167">
        <v>20474954.34</v>
      </c>
      <c r="G419" s="167">
        <v>21179428.48</v>
      </c>
    </row>
    <row r="420" spans="1:8" ht="35.4" customHeight="1" outlineLevel="1">
      <c r="A420" s="164" t="s">
        <v>97</v>
      </c>
      <c r="B420" s="163" t="s">
        <v>504</v>
      </c>
      <c r="C420" s="163" t="s">
        <v>124</v>
      </c>
      <c r="D420" s="163" t="s">
        <v>432</v>
      </c>
      <c r="E420" s="169" t="s">
        <v>98</v>
      </c>
      <c r="F420" s="167">
        <v>2000000</v>
      </c>
      <c r="G420" s="167">
        <v>2000000</v>
      </c>
    </row>
    <row r="421" spans="1:8" ht="0.75" customHeight="1" outlineLevel="1">
      <c r="A421" s="187" t="s">
        <v>775</v>
      </c>
      <c r="B421" s="163" t="s">
        <v>504</v>
      </c>
      <c r="C421" s="163" t="s">
        <v>124</v>
      </c>
      <c r="D421" s="163" t="s">
        <v>295</v>
      </c>
      <c r="E421" s="169" t="s">
        <v>6</v>
      </c>
      <c r="F421" s="167">
        <f t="shared" ref="F421:G422" si="121">F422</f>
        <v>0</v>
      </c>
      <c r="G421" s="167">
        <f t="shared" si="121"/>
        <v>0</v>
      </c>
    </row>
    <row r="422" spans="1:8" ht="18" hidden="1" customHeight="1" outlineLevel="1">
      <c r="A422" s="164" t="s">
        <v>264</v>
      </c>
      <c r="B422" s="163" t="s">
        <v>504</v>
      </c>
      <c r="C422" s="163" t="s">
        <v>124</v>
      </c>
      <c r="D422" s="163" t="s">
        <v>295</v>
      </c>
      <c r="E422" s="169" t="s">
        <v>265</v>
      </c>
      <c r="F422" s="167">
        <f t="shared" si="121"/>
        <v>0</v>
      </c>
      <c r="G422" s="167">
        <f t="shared" si="121"/>
        <v>0</v>
      </c>
    </row>
    <row r="423" spans="1:8" ht="18" hidden="1" customHeight="1" outlineLevel="1">
      <c r="A423" s="164" t="s">
        <v>266</v>
      </c>
      <c r="B423" s="163" t="s">
        <v>504</v>
      </c>
      <c r="C423" s="163" t="s">
        <v>124</v>
      </c>
      <c r="D423" s="163" t="s">
        <v>295</v>
      </c>
      <c r="E423" s="169" t="s">
        <v>267</v>
      </c>
      <c r="F423" s="167">
        <v>0</v>
      </c>
      <c r="G423" s="167">
        <v>0</v>
      </c>
    </row>
    <row r="424" spans="1:8" ht="115.5" customHeight="1" outlineLevel="1">
      <c r="A424" s="187" t="s">
        <v>667</v>
      </c>
      <c r="B424" s="163" t="s">
        <v>504</v>
      </c>
      <c r="C424" s="163" t="s">
        <v>124</v>
      </c>
      <c r="D424" s="163" t="s">
        <v>295</v>
      </c>
      <c r="E424" s="169" t="s">
        <v>6</v>
      </c>
      <c r="F424" s="184">
        <f t="shared" ref="F424:G425" si="122">F425</f>
        <v>20305313.620000001</v>
      </c>
      <c r="G424" s="184">
        <f t="shared" si="122"/>
        <v>20305313.620000001</v>
      </c>
    </row>
    <row r="425" spans="1:8" ht="54" outlineLevel="1">
      <c r="A425" s="164" t="s">
        <v>264</v>
      </c>
      <c r="B425" s="163" t="s">
        <v>504</v>
      </c>
      <c r="C425" s="163" t="s">
        <v>124</v>
      </c>
      <c r="D425" s="163" t="s">
        <v>295</v>
      </c>
      <c r="E425" s="169" t="s">
        <v>265</v>
      </c>
      <c r="F425" s="184">
        <f t="shared" si="122"/>
        <v>20305313.620000001</v>
      </c>
      <c r="G425" s="184">
        <f t="shared" si="122"/>
        <v>20305313.620000001</v>
      </c>
    </row>
    <row r="426" spans="1:8" outlineLevel="1">
      <c r="A426" s="164" t="s">
        <v>266</v>
      </c>
      <c r="B426" s="163" t="s">
        <v>504</v>
      </c>
      <c r="C426" s="163" t="s">
        <v>124</v>
      </c>
      <c r="D426" s="163" t="s">
        <v>295</v>
      </c>
      <c r="E426" s="169" t="s">
        <v>267</v>
      </c>
      <c r="F426" s="167">
        <v>20305313.620000001</v>
      </c>
      <c r="G426" s="167">
        <v>20305313.620000001</v>
      </c>
    </row>
    <row r="427" spans="1:8" ht="101.25" customHeight="1" outlineLevel="1">
      <c r="A427" s="187" t="s">
        <v>774</v>
      </c>
      <c r="B427" s="163" t="s">
        <v>504</v>
      </c>
      <c r="C427" s="163" t="s">
        <v>124</v>
      </c>
      <c r="D427" s="163" t="s">
        <v>814</v>
      </c>
      <c r="E427" s="169" t="s">
        <v>6</v>
      </c>
      <c r="F427" s="167">
        <f>F428</f>
        <v>16214571.039999999</v>
      </c>
      <c r="G427" s="167">
        <f>G428</f>
        <v>16214571.039999999</v>
      </c>
    </row>
    <row r="428" spans="1:8" ht="54" outlineLevel="1">
      <c r="A428" s="164" t="s">
        <v>264</v>
      </c>
      <c r="B428" s="163" t="s">
        <v>504</v>
      </c>
      <c r="C428" s="163" t="s">
        <v>124</v>
      </c>
      <c r="D428" s="163" t="s">
        <v>814</v>
      </c>
      <c r="E428" s="169" t="s">
        <v>265</v>
      </c>
      <c r="F428" s="167">
        <f>F429</f>
        <v>16214571.039999999</v>
      </c>
      <c r="G428" s="167">
        <f>G429</f>
        <v>16214571.039999999</v>
      </c>
    </row>
    <row r="429" spans="1:8" outlineLevel="1">
      <c r="A429" s="164" t="s">
        <v>266</v>
      </c>
      <c r="B429" s="163" t="s">
        <v>504</v>
      </c>
      <c r="C429" s="163" t="s">
        <v>124</v>
      </c>
      <c r="D429" s="163" t="s">
        <v>814</v>
      </c>
      <c r="E429" s="169" t="s">
        <v>267</v>
      </c>
      <c r="F429" s="167">
        <v>16214571.039999999</v>
      </c>
      <c r="G429" s="167">
        <v>16214571.039999999</v>
      </c>
    </row>
    <row r="430" spans="1:8" outlineLevel="1">
      <c r="A430" s="196" t="s">
        <v>100</v>
      </c>
      <c r="B430" s="197" t="s">
        <v>504</v>
      </c>
      <c r="C430" s="197" t="s">
        <v>101</v>
      </c>
      <c r="D430" s="197" t="s">
        <v>126</v>
      </c>
      <c r="E430" s="198" t="s">
        <v>6</v>
      </c>
      <c r="F430" s="209">
        <f t="shared" ref="F430:G430" si="123">F431</f>
        <v>879482.2</v>
      </c>
      <c r="G430" s="209">
        <f t="shared" si="123"/>
        <v>1035459.8</v>
      </c>
    </row>
    <row r="431" spans="1:8" ht="22.65" customHeight="1" outlineLevel="1">
      <c r="A431" s="164" t="s">
        <v>301</v>
      </c>
      <c r="B431" s="163" t="s">
        <v>504</v>
      </c>
      <c r="C431" s="163" t="s">
        <v>300</v>
      </c>
      <c r="D431" s="163" t="s">
        <v>126</v>
      </c>
      <c r="E431" s="169" t="s">
        <v>6</v>
      </c>
      <c r="F431" s="184">
        <f>F432+F449</f>
        <v>879482.2</v>
      </c>
      <c r="G431" s="184">
        <f>G432+G449</f>
        <v>1035459.8</v>
      </c>
    </row>
    <row r="432" spans="1:8" ht="20.25" customHeight="1" outlineLevel="1">
      <c r="A432" s="196" t="s">
        <v>377</v>
      </c>
      <c r="B432" s="197" t="s">
        <v>504</v>
      </c>
      <c r="C432" s="197" t="s">
        <v>300</v>
      </c>
      <c r="D432" s="197" t="s">
        <v>200</v>
      </c>
      <c r="E432" s="198" t="s">
        <v>6</v>
      </c>
      <c r="F432" s="209">
        <f t="shared" ref="F432:G432" si="124">F433+F439</f>
        <v>829482.2</v>
      </c>
      <c r="G432" s="209">
        <f t="shared" si="124"/>
        <v>985459.8</v>
      </c>
    </row>
    <row r="433" spans="1:8" ht="54" outlineLevel="1">
      <c r="A433" s="164" t="s">
        <v>213</v>
      </c>
      <c r="B433" s="163" t="s">
        <v>504</v>
      </c>
      <c r="C433" s="163" t="s">
        <v>300</v>
      </c>
      <c r="D433" s="163" t="s">
        <v>230</v>
      </c>
      <c r="E433" s="169" t="s">
        <v>6</v>
      </c>
      <c r="F433" s="184">
        <f t="shared" ref="F433:G433" si="125">F434</f>
        <v>661000</v>
      </c>
      <c r="G433" s="184">
        <f t="shared" si="125"/>
        <v>661000</v>
      </c>
    </row>
    <row r="434" spans="1:8" ht="20.25" customHeight="1" outlineLevel="1">
      <c r="A434" s="164" t="s">
        <v>102</v>
      </c>
      <c r="B434" s="163" t="s">
        <v>504</v>
      </c>
      <c r="C434" s="163" t="s">
        <v>300</v>
      </c>
      <c r="D434" s="163" t="s">
        <v>201</v>
      </c>
      <c r="E434" s="169" t="s">
        <v>6</v>
      </c>
      <c r="F434" s="184">
        <f t="shared" ref="F434:G434" si="126">F435+F437</f>
        <v>661000</v>
      </c>
      <c r="G434" s="184">
        <f t="shared" si="126"/>
        <v>661000</v>
      </c>
    </row>
    <row r="435" spans="1:8" ht="21.15" customHeight="1" outlineLevel="1">
      <c r="A435" s="164" t="s">
        <v>15</v>
      </c>
      <c r="B435" s="163" t="s">
        <v>504</v>
      </c>
      <c r="C435" s="163" t="s">
        <v>300</v>
      </c>
      <c r="D435" s="163" t="s">
        <v>201</v>
      </c>
      <c r="E435" s="169" t="s">
        <v>16</v>
      </c>
      <c r="F435" s="184">
        <f t="shared" ref="F435:G435" si="127">F436</f>
        <v>631000</v>
      </c>
      <c r="G435" s="184">
        <f t="shared" si="127"/>
        <v>631000</v>
      </c>
    </row>
    <row r="436" spans="1:8" s="266" customFormat="1" ht="36" outlineLevel="1">
      <c r="A436" s="164" t="s">
        <v>17</v>
      </c>
      <c r="B436" s="163" t="s">
        <v>504</v>
      </c>
      <c r="C436" s="163" t="s">
        <v>300</v>
      </c>
      <c r="D436" s="163" t="s">
        <v>201</v>
      </c>
      <c r="E436" s="169" t="s">
        <v>18</v>
      </c>
      <c r="F436" s="218">
        <v>631000</v>
      </c>
      <c r="G436" s="218">
        <v>631000</v>
      </c>
      <c r="H436" s="265"/>
    </row>
    <row r="437" spans="1:8" ht="24.75" customHeight="1" outlineLevel="2">
      <c r="A437" s="164" t="s">
        <v>271</v>
      </c>
      <c r="B437" s="163" t="s">
        <v>504</v>
      </c>
      <c r="C437" s="163" t="s">
        <v>300</v>
      </c>
      <c r="D437" s="163" t="s">
        <v>201</v>
      </c>
      <c r="E437" s="169" t="s">
        <v>20</v>
      </c>
      <c r="F437" s="184">
        <f t="shared" ref="F437:G437" si="128">F438</f>
        <v>30000</v>
      </c>
      <c r="G437" s="184">
        <f t="shared" si="128"/>
        <v>30000</v>
      </c>
    </row>
    <row r="438" spans="1:8" s="266" customFormat="1" ht="27.75" customHeight="1" outlineLevel="3">
      <c r="A438" s="164" t="s">
        <v>272</v>
      </c>
      <c r="B438" s="163" t="s">
        <v>504</v>
      </c>
      <c r="C438" s="163" t="s">
        <v>300</v>
      </c>
      <c r="D438" s="163" t="s">
        <v>201</v>
      </c>
      <c r="E438" s="169" t="s">
        <v>22</v>
      </c>
      <c r="F438" s="184">
        <v>30000</v>
      </c>
      <c r="G438" s="184">
        <v>30000</v>
      </c>
      <c r="H438" s="265"/>
    </row>
    <row r="439" spans="1:8" ht="27.75" customHeight="1" outlineLevel="4">
      <c r="A439" s="164" t="s">
        <v>378</v>
      </c>
      <c r="B439" s="163" t="s">
        <v>504</v>
      </c>
      <c r="C439" s="163" t="s">
        <v>300</v>
      </c>
      <c r="D439" s="163" t="s">
        <v>303</v>
      </c>
      <c r="E439" s="169" t="s">
        <v>6</v>
      </c>
      <c r="F439" s="167">
        <f>F440+F443+F446</f>
        <v>168482.2</v>
      </c>
      <c r="G439" s="167">
        <f>G440+G443+G446</f>
        <v>324459.8</v>
      </c>
    </row>
    <row r="440" spans="1:8" ht="36" hidden="1" outlineLevel="5">
      <c r="A440" s="164" t="s">
        <v>281</v>
      </c>
      <c r="B440" s="163" t="s">
        <v>504</v>
      </c>
      <c r="C440" s="163" t="s">
        <v>300</v>
      </c>
      <c r="D440" s="163" t="s">
        <v>302</v>
      </c>
      <c r="E440" s="169" t="s">
        <v>6</v>
      </c>
      <c r="F440" s="167">
        <f t="shared" ref="F440:G441" si="129">F441</f>
        <v>0</v>
      </c>
      <c r="G440" s="167">
        <f t="shared" si="129"/>
        <v>0</v>
      </c>
    </row>
    <row r="441" spans="1:8" ht="54" hidden="1" outlineLevel="6">
      <c r="A441" s="164" t="s">
        <v>264</v>
      </c>
      <c r="B441" s="163" t="s">
        <v>504</v>
      </c>
      <c r="C441" s="163" t="s">
        <v>300</v>
      </c>
      <c r="D441" s="163" t="s">
        <v>302</v>
      </c>
      <c r="E441" s="169" t="s">
        <v>265</v>
      </c>
      <c r="F441" s="167">
        <f t="shared" si="129"/>
        <v>0</v>
      </c>
      <c r="G441" s="167">
        <f t="shared" si="129"/>
        <v>0</v>
      </c>
    </row>
    <row r="442" spans="1:8" hidden="1" outlineLevel="7">
      <c r="A442" s="164" t="s">
        <v>266</v>
      </c>
      <c r="B442" s="163" t="s">
        <v>504</v>
      </c>
      <c r="C442" s="163" t="s">
        <v>300</v>
      </c>
      <c r="D442" s="163" t="s">
        <v>302</v>
      </c>
      <c r="E442" s="169" t="s">
        <v>267</v>
      </c>
      <c r="F442" s="184"/>
      <c r="G442" s="184"/>
    </row>
    <row r="443" spans="1:8" ht="59.25" customHeight="1" outlineLevel="7">
      <c r="A443" s="164" t="s">
        <v>792</v>
      </c>
      <c r="B443" s="163" t="s">
        <v>504</v>
      </c>
      <c r="C443" s="163" t="s">
        <v>300</v>
      </c>
      <c r="D443" s="163" t="s">
        <v>818</v>
      </c>
      <c r="E443" s="169" t="s">
        <v>6</v>
      </c>
      <c r="F443" s="184">
        <f>F444</f>
        <v>163718</v>
      </c>
      <c r="G443" s="184">
        <f>G444</f>
        <v>315285</v>
      </c>
    </row>
    <row r="444" spans="1:8" ht="36" outlineLevel="7">
      <c r="A444" s="164" t="s">
        <v>15</v>
      </c>
      <c r="B444" s="163" t="s">
        <v>504</v>
      </c>
      <c r="C444" s="163" t="s">
        <v>300</v>
      </c>
      <c r="D444" s="163" t="s">
        <v>818</v>
      </c>
      <c r="E444" s="169" t="s">
        <v>16</v>
      </c>
      <c r="F444" s="184">
        <f>F445</f>
        <v>163718</v>
      </c>
      <c r="G444" s="184">
        <f>G445</f>
        <v>315285</v>
      </c>
    </row>
    <row r="445" spans="1:8" ht="36" outlineLevel="7">
      <c r="A445" s="164" t="s">
        <v>17</v>
      </c>
      <c r="B445" s="163" t="s">
        <v>504</v>
      </c>
      <c r="C445" s="163" t="s">
        <v>300</v>
      </c>
      <c r="D445" s="163" t="s">
        <v>818</v>
      </c>
      <c r="E445" s="169" t="s">
        <v>18</v>
      </c>
      <c r="F445" s="184">
        <v>163718</v>
      </c>
      <c r="G445" s="184">
        <v>315285</v>
      </c>
    </row>
    <row r="446" spans="1:8" ht="72" outlineLevel="7">
      <c r="A446" s="164" t="s">
        <v>791</v>
      </c>
      <c r="B446" s="163" t="s">
        <v>504</v>
      </c>
      <c r="C446" s="163" t="s">
        <v>300</v>
      </c>
      <c r="D446" s="163" t="s">
        <v>819</v>
      </c>
      <c r="E446" s="169" t="s">
        <v>6</v>
      </c>
      <c r="F446" s="184">
        <f>F447</f>
        <v>4764.2</v>
      </c>
      <c r="G446" s="184">
        <f>G447</f>
        <v>9174.7999999999993</v>
      </c>
    </row>
    <row r="447" spans="1:8" ht="36" outlineLevel="7">
      <c r="A447" s="164" t="s">
        <v>15</v>
      </c>
      <c r="B447" s="163" t="s">
        <v>504</v>
      </c>
      <c r="C447" s="163" t="s">
        <v>300</v>
      </c>
      <c r="D447" s="163" t="s">
        <v>819</v>
      </c>
      <c r="E447" s="169" t="s">
        <v>16</v>
      </c>
      <c r="F447" s="184">
        <f>F448</f>
        <v>4764.2</v>
      </c>
      <c r="G447" s="184">
        <f>G448</f>
        <v>9174.7999999999993</v>
      </c>
    </row>
    <row r="448" spans="1:8" ht="36" outlineLevel="7">
      <c r="A448" s="164" t="s">
        <v>17</v>
      </c>
      <c r="B448" s="163" t="s">
        <v>504</v>
      </c>
      <c r="C448" s="163" t="s">
        <v>300</v>
      </c>
      <c r="D448" s="163" t="s">
        <v>819</v>
      </c>
      <c r="E448" s="169" t="s">
        <v>18</v>
      </c>
      <c r="F448" s="184">
        <v>4764.2</v>
      </c>
      <c r="G448" s="184">
        <v>9174.7999999999993</v>
      </c>
    </row>
    <row r="449" spans="1:8" s="264" customFormat="1" ht="65.25" customHeight="1">
      <c r="A449" s="201" t="s">
        <v>856</v>
      </c>
      <c r="B449" s="197" t="s">
        <v>504</v>
      </c>
      <c r="C449" s="197" t="s">
        <v>300</v>
      </c>
      <c r="D449" s="197" t="s">
        <v>464</v>
      </c>
      <c r="E449" s="198" t="s">
        <v>6</v>
      </c>
      <c r="F449" s="167">
        <f t="shared" ref="F449:G452" si="130">F450</f>
        <v>50000</v>
      </c>
      <c r="G449" s="167">
        <f t="shared" si="130"/>
        <v>50000</v>
      </c>
      <c r="H449" s="263"/>
    </row>
    <row r="450" spans="1:8" ht="31.65" customHeight="1" outlineLevel="1">
      <c r="A450" s="211" t="s">
        <v>465</v>
      </c>
      <c r="B450" s="163" t="s">
        <v>504</v>
      </c>
      <c r="C450" s="163" t="s">
        <v>300</v>
      </c>
      <c r="D450" s="163" t="s">
        <v>466</v>
      </c>
      <c r="E450" s="169" t="s">
        <v>6</v>
      </c>
      <c r="F450" s="167">
        <f t="shared" si="130"/>
        <v>50000</v>
      </c>
      <c r="G450" s="167">
        <f t="shared" si="130"/>
        <v>50000</v>
      </c>
    </row>
    <row r="451" spans="1:8" ht="37.5" customHeight="1" outlineLevel="2">
      <c r="A451" s="164" t="s">
        <v>467</v>
      </c>
      <c r="B451" s="163" t="s">
        <v>504</v>
      </c>
      <c r="C451" s="163" t="s">
        <v>300</v>
      </c>
      <c r="D451" s="163" t="s">
        <v>468</v>
      </c>
      <c r="E451" s="169" t="s">
        <v>6</v>
      </c>
      <c r="F451" s="167">
        <f t="shared" si="130"/>
        <v>50000</v>
      </c>
      <c r="G451" s="167">
        <f t="shared" si="130"/>
        <v>50000</v>
      </c>
    </row>
    <row r="452" spans="1:8" ht="36" outlineLevel="4">
      <c r="A452" s="164" t="s">
        <v>15</v>
      </c>
      <c r="B452" s="163" t="s">
        <v>504</v>
      </c>
      <c r="C452" s="163" t="s">
        <v>300</v>
      </c>
      <c r="D452" s="163" t="s">
        <v>468</v>
      </c>
      <c r="E452" s="169" t="s">
        <v>16</v>
      </c>
      <c r="F452" s="167">
        <f t="shared" si="130"/>
        <v>50000</v>
      </c>
      <c r="G452" s="167">
        <f t="shared" si="130"/>
        <v>50000</v>
      </c>
    </row>
    <row r="453" spans="1:8" ht="36" outlineLevel="5">
      <c r="A453" s="164" t="s">
        <v>17</v>
      </c>
      <c r="B453" s="163" t="s">
        <v>504</v>
      </c>
      <c r="C453" s="163" t="s">
        <v>300</v>
      </c>
      <c r="D453" s="163" t="s">
        <v>468</v>
      </c>
      <c r="E453" s="169" t="s">
        <v>18</v>
      </c>
      <c r="F453" s="184">
        <v>50000</v>
      </c>
      <c r="G453" s="184">
        <v>50000</v>
      </c>
    </row>
    <row r="454" spans="1:8" outlineLevel="6">
      <c r="A454" s="196" t="s">
        <v>103</v>
      </c>
      <c r="B454" s="163" t="s">
        <v>504</v>
      </c>
      <c r="C454" s="197" t="s">
        <v>104</v>
      </c>
      <c r="D454" s="197" t="s">
        <v>126</v>
      </c>
      <c r="E454" s="198" t="s">
        <v>6</v>
      </c>
      <c r="F454" s="171">
        <f t="shared" ref="F454:G459" si="131">F455</f>
        <v>2500000</v>
      </c>
      <c r="G454" s="171">
        <f t="shared" si="131"/>
        <v>2500000</v>
      </c>
    </row>
    <row r="455" spans="1:8" outlineLevel="7">
      <c r="A455" s="164" t="s">
        <v>105</v>
      </c>
      <c r="B455" s="163" t="s">
        <v>504</v>
      </c>
      <c r="C455" s="163" t="s">
        <v>106</v>
      </c>
      <c r="D455" s="163" t="s">
        <v>126</v>
      </c>
      <c r="E455" s="169" t="s">
        <v>6</v>
      </c>
      <c r="F455" s="167">
        <f t="shared" si="131"/>
        <v>2500000</v>
      </c>
      <c r="G455" s="167">
        <f t="shared" si="131"/>
        <v>2500000</v>
      </c>
    </row>
    <row r="456" spans="1:8" ht="54" outlineLevel="5">
      <c r="A456" s="196" t="s">
        <v>857</v>
      </c>
      <c r="B456" s="163" t="s">
        <v>504</v>
      </c>
      <c r="C456" s="197" t="s">
        <v>106</v>
      </c>
      <c r="D456" s="197" t="s">
        <v>317</v>
      </c>
      <c r="E456" s="198" t="s">
        <v>6</v>
      </c>
      <c r="F456" s="171">
        <f>F457</f>
        <v>2500000</v>
      </c>
      <c r="G456" s="171">
        <f>G457</f>
        <v>2500000</v>
      </c>
    </row>
    <row r="457" spans="1:8" s="257" customFormat="1" ht="36" outlineLevel="6">
      <c r="A457" s="200" t="s">
        <v>327</v>
      </c>
      <c r="B457" s="163" t="s">
        <v>504</v>
      </c>
      <c r="C457" s="163" t="s">
        <v>106</v>
      </c>
      <c r="D457" s="163" t="s">
        <v>318</v>
      </c>
      <c r="E457" s="169" t="s">
        <v>6</v>
      </c>
      <c r="F457" s="167">
        <f t="shared" si="131"/>
        <v>2500000</v>
      </c>
      <c r="G457" s="167">
        <f t="shared" si="131"/>
        <v>2500000</v>
      </c>
    </row>
    <row r="458" spans="1:8" s="257" customFormat="1" ht="54" outlineLevel="7">
      <c r="A458" s="164" t="s">
        <v>107</v>
      </c>
      <c r="B458" s="163" t="s">
        <v>504</v>
      </c>
      <c r="C458" s="163" t="s">
        <v>106</v>
      </c>
      <c r="D458" s="163" t="s">
        <v>319</v>
      </c>
      <c r="E458" s="169" t="s">
        <v>6</v>
      </c>
      <c r="F458" s="167">
        <f t="shared" si="131"/>
        <v>2500000</v>
      </c>
      <c r="G458" s="167">
        <f t="shared" si="131"/>
        <v>2500000</v>
      </c>
    </row>
    <row r="459" spans="1:8" s="257" customFormat="1" ht="36" outlineLevel="6">
      <c r="A459" s="164" t="s">
        <v>37</v>
      </c>
      <c r="B459" s="163" t="s">
        <v>504</v>
      </c>
      <c r="C459" s="163" t="s">
        <v>106</v>
      </c>
      <c r="D459" s="163" t="s">
        <v>319</v>
      </c>
      <c r="E459" s="169" t="s">
        <v>38</v>
      </c>
      <c r="F459" s="167">
        <f t="shared" si="131"/>
        <v>2500000</v>
      </c>
      <c r="G459" s="167">
        <f t="shared" si="131"/>
        <v>2500000</v>
      </c>
    </row>
    <row r="460" spans="1:8" s="257" customFormat="1" ht="20.25" customHeight="1" outlineLevel="7">
      <c r="A460" s="164" t="s">
        <v>39</v>
      </c>
      <c r="B460" s="163" t="s">
        <v>504</v>
      </c>
      <c r="C460" s="163" t="s">
        <v>106</v>
      </c>
      <c r="D460" s="163" t="s">
        <v>319</v>
      </c>
      <c r="E460" s="169" t="s">
        <v>40</v>
      </c>
      <c r="F460" s="167">
        <f>потребность!I456</f>
        <v>2500000</v>
      </c>
      <c r="G460" s="167">
        <v>2500000</v>
      </c>
    </row>
    <row r="461" spans="1:8" s="257" customFormat="1" ht="34.799999999999997" outlineLevel="6">
      <c r="A461" s="191" t="s">
        <v>531</v>
      </c>
      <c r="B461" s="192" t="s">
        <v>505</v>
      </c>
      <c r="C461" s="192" t="s">
        <v>5</v>
      </c>
      <c r="D461" s="192" t="s">
        <v>126</v>
      </c>
      <c r="E461" s="193" t="s">
        <v>6</v>
      </c>
      <c r="F461" s="215">
        <f t="shared" ref="F461:G461" si="132">F462</f>
        <v>5805481.6399999997</v>
      </c>
      <c r="G461" s="215">
        <f t="shared" si="132"/>
        <v>6014949.9699999997</v>
      </c>
    </row>
    <row r="462" spans="1:8" s="257" customFormat="1" outlineLevel="7">
      <c r="A462" s="164" t="s">
        <v>7</v>
      </c>
      <c r="B462" s="163" t="s">
        <v>505</v>
      </c>
      <c r="C462" s="163" t="s">
        <v>8</v>
      </c>
      <c r="D462" s="163" t="s">
        <v>126</v>
      </c>
      <c r="E462" s="169" t="s">
        <v>6</v>
      </c>
      <c r="F462" s="167">
        <f t="shared" ref="F462:G462" si="133">F463+F478+F483</f>
        <v>5805481.6399999997</v>
      </c>
      <c r="G462" s="167">
        <f t="shared" si="133"/>
        <v>6014949.9699999997</v>
      </c>
    </row>
    <row r="463" spans="1:8" s="257" customFormat="1" ht="72" outlineLevel="5">
      <c r="A463" s="164" t="s">
        <v>108</v>
      </c>
      <c r="B463" s="163" t="s">
        <v>505</v>
      </c>
      <c r="C463" s="163" t="s">
        <v>109</v>
      </c>
      <c r="D463" s="163" t="s">
        <v>126</v>
      </c>
      <c r="E463" s="169" t="s">
        <v>6</v>
      </c>
      <c r="F463" s="167">
        <f t="shared" ref="F463:G463" si="134">F464</f>
        <v>5668201.6399999997</v>
      </c>
      <c r="G463" s="167">
        <f t="shared" si="134"/>
        <v>5877669.9699999997</v>
      </c>
    </row>
    <row r="464" spans="1:8" s="257" customFormat="1" ht="36" outlineLevel="6">
      <c r="A464" s="164" t="s">
        <v>132</v>
      </c>
      <c r="B464" s="163" t="s">
        <v>505</v>
      </c>
      <c r="C464" s="163" t="s">
        <v>109</v>
      </c>
      <c r="D464" s="163" t="s">
        <v>127</v>
      </c>
      <c r="E464" s="169" t="s">
        <v>6</v>
      </c>
      <c r="F464" s="167">
        <f t="shared" ref="F464:G464" si="135">F465+F468+F475</f>
        <v>5668201.6399999997</v>
      </c>
      <c r="G464" s="167">
        <f t="shared" si="135"/>
        <v>5877669.9699999997</v>
      </c>
    </row>
    <row r="465" spans="1:8" s="257" customFormat="1" ht="36" outlineLevel="7">
      <c r="A465" s="164" t="s">
        <v>532</v>
      </c>
      <c r="B465" s="163" t="s">
        <v>505</v>
      </c>
      <c r="C465" s="163" t="s">
        <v>109</v>
      </c>
      <c r="D465" s="163" t="s">
        <v>533</v>
      </c>
      <c r="E465" s="169" t="s">
        <v>6</v>
      </c>
      <c r="F465" s="167">
        <f t="shared" ref="F465:G466" si="136">F466</f>
        <v>2618572.2799999998</v>
      </c>
      <c r="G465" s="167">
        <f t="shared" si="136"/>
        <v>2723315.17</v>
      </c>
    </row>
    <row r="466" spans="1:8" s="257" customFormat="1" ht="37.5" customHeight="1" outlineLevel="2">
      <c r="A466" s="164" t="s">
        <v>11</v>
      </c>
      <c r="B466" s="163" t="s">
        <v>505</v>
      </c>
      <c r="C466" s="163" t="s">
        <v>109</v>
      </c>
      <c r="D466" s="163" t="s">
        <v>533</v>
      </c>
      <c r="E466" s="169" t="s">
        <v>12</v>
      </c>
      <c r="F466" s="167">
        <f t="shared" si="136"/>
        <v>2618572.2799999998</v>
      </c>
      <c r="G466" s="167">
        <f t="shared" si="136"/>
        <v>2723315.17</v>
      </c>
    </row>
    <row r="467" spans="1:8" s="257" customFormat="1" ht="36" outlineLevel="4">
      <c r="A467" s="164" t="s">
        <v>13</v>
      </c>
      <c r="B467" s="163" t="s">
        <v>505</v>
      </c>
      <c r="C467" s="163" t="s">
        <v>109</v>
      </c>
      <c r="D467" s="163" t="s">
        <v>533</v>
      </c>
      <c r="E467" s="169" t="s">
        <v>14</v>
      </c>
      <c r="F467" s="184">
        <v>2618572.2799999998</v>
      </c>
      <c r="G467" s="184">
        <v>2723315.17</v>
      </c>
    </row>
    <row r="468" spans="1:8" s="257" customFormat="1" ht="54" outlineLevel="5">
      <c r="A468" s="164" t="s">
        <v>498</v>
      </c>
      <c r="B468" s="163" t="s">
        <v>505</v>
      </c>
      <c r="C468" s="163" t="s">
        <v>109</v>
      </c>
      <c r="D468" s="163" t="s">
        <v>499</v>
      </c>
      <c r="E468" s="169" t="s">
        <v>6</v>
      </c>
      <c r="F468" s="167">
        <f t="shared" ref="F468:G468" si="137">F469+F471+F473</f>
        <v>2869629.36</v>
      </c>
      <c r="G468" s="167">
        <f t="shared" si="137"/>
        <v>2974354.8</v>
      </c>
    </row>
    <row r="469" spans="1:8" s="257" customFormat="1" ht="90" outlineLevel="6">
      <c r="A469" s="164" t="s">
        <v>11</v>
      </c>
      <c r="B469" s="163" t="s">
        <v>505</v>
      </c>
      <c r="C469" s="163" t="s">
        <v>109</v>
      </c>
      <c r="D469" s="163" t="s">
        <v>499</v>
      </c>
      <c r="E469" s="169" t="s">
        <v>12</v>
      </c>
      <c r="F469" s="167">
        <f t="shared" ref="F469:G469" si="138">F470</f>
        <v>2618129.36</v>
      </c>
      <c r="G469" s="167">
        <f t="shared" si="138"/>
        <v>2722854.8</v>
      </c>
    </row>
    <row r="470" spans="1:8" s="257" customFormat="1" ht="36" outlineLevel="7">
      <c r="A470" s="164" t="s">
        <v>13</v>
      </c>
      <c r="B470" s="163" t="s">
        <v>505</v>
      </c>
      <c r="C470" s="163" t="s">
        <v>109</v>
      </c>
      <c r="D470" s="163" t="s">
        <v>499</v>
      </c>
      <c r="E470" s="169" t="s">
        <v>14</v>
      </c>
      <c r="F470" s="167">
        <v>2618129.36</v>
      </c>
      <c r="G470" s="167">
        <v>2722854.8</v>
      </c>
    </row>
    <row r="471" spans="1:8" s="257" customFormat="1" ht="36" outlineLevel="7">
      <c r="A471" s="164" t="s">
        <v>15</v>
      </c>
      <c r="B471" s="163" t="s">
        <v>505</v>
      </c>
      <c r="C471" s="163" t="s">
        <v>109</v>
      </c>
      <c r="D471" s="163" t="s">
        <v>499</v>
      </c>
      <c r="E471" s="169" t="s">
        <v>16</v>
      </c>
      <c r="F471" s="167">
        <f t="shared" ref="F471:G471" si="139">F472</f>
        <v>246000</v>
      </c>
      <c r="G471" s="167">
        <f t="shared" si="139"/>
        <v>246000</v>
      </c>
    </row>
    <row r="472" spans="1:8" s="257" customFormat="1" ht="36" outlineLevel="7">
      <c r="A472" s="164" t="s">
        <v>17</v>
      </c>
      <c r="B472" s="163" t="s">
        <v>505</v>
      </c>
      <c r="C472" s="163" t="s">
        <v>109</v>
      </c>
      <c r="D472" s="163" t="s">
        <v>499</v>
      </c>
      <c r="E472" s="169" t="s">
        <v>18</v>
      </c>
      <c r="F472" s="184">
        <v>246000</v>
      </c>
      <c r="G472" s="184">
        <v>246000</v>
      </c>
    </row>
    <row r="473" spans="1:8" outlineLevel="2">
      <c r="A473" s="164" t="s">
        <v>19</v>
      </c>
      <c r="B473" s="163" t="s">
        <v>505</v>
      </c>
      <c r="C473" s="163" t="s">
        <v>109</v>
      </c>
      <c r="D473" s="163" t="s">
        <v>499</v>
      </c>
      <c r="E473" s="169" t="s">
        <v>20</v>
      </c>
      <c r="F473" s="167">
        <f t="shared" ref="F473:G473" si="140">F474</f>
        <v>5500</v>
      </c>
      <c r="G473" s="167">
        <f t="shared" si="140"/>
        <v>5500</v>
      </c>
    </row>
    <row r="474" spans="1:8" s="266" customFormat="1" outlineLevel="3">
      <c r="A474" s="164" t="s">
        <v>21</v>
      </c>
      <c r="B474" s="163" t="s">
        <v>505</v>
      </c>
      <c r="C474" s="163" t="s">
        <v>109</v>
      </c>
      <c r="D474" s="163" t="s">
        <v>499</v>
      </c>
      <c r="E474" s="169" t="s">
        <v>22</v>
      </c>
      <c r="F474" s="184">
        <v>5500</v>
      </c>
      <c r="G474" s="184">
        <v>5500</v>
      </c>
      <c r="H474" s="265"/>
    </row>
    <row r="475" spans="1:8" outlineLevel="4">
      <c r="A475" s="164" t="s">
        <v>535</v>
      </c>
      <c r="B475" s="163" t="s">
        <v>505</v>
      </c>
      <c r="C475" s="163" t="s">
        <v>109</v>
      </c>
      <c r="D475" s="163" t="s">
        <v>534</v>
      </c>
      <c r="E475" s="169" t="s">
        <v>6</v>
      </c>
      <c r="F475" s="167">
        <f t="shared" ref="F475:G476" si="141">F476</f>
        <v>180000</v>
      </c>
      <c r="G475" s="167">
        <f t="shared" si="141"/>
        <v>180000</v>
      </c>
    </row>
    <row r="476" spans="1:8" ht="90" outlineLevel="5">
      <c r="A476" s="164" t="s">
        <v>11</v>
      </c>
      <c r="B476" s="163" t="s">
        <v>505</v>
      </c>
      <c r="C476" s="163" t="s">
        <v>109</v>
      </c>
      <c r="D476" s="163" t="s">
        <v>534</v>
      </c>
      <c r="E476" s="169" t="s">
        <v>12</v>
      </c>
      <c r="F476" s="167">
        <f t="shared" si="141"/>
        <v>180000</v>
      </c>
      <c r="G476" s="167">
        <f t="shared" si="141"/>
        <v>180000</v>
      </c>
    </row>
    <row r="477" spans="1:8" ht="33" customHeight="1" outlineLevel="6">
      <c r="A477" s="164" t="s">
        <v>13</v>
      </c>
      <c r="B477" s="163" t="s">
        <v>505</v>
      </c>
      <c r="C477" s="163" t="s">
        <v>109</v>
      </c>
      <c r="D477" s="163" t="s">
        <v>534</v>
      </c>
      <c r="E477" s="169" t="s">
        <v>14</v>
      </c>
      <c r="F477" s="184">
        <v>180000</v>
      </c>
      <c r="G477" s="184">
        <v>180000</v>
      </c>
    </row>
    <row r="478" spans="1:8" ht="22.65" hidden="1" customHeight="1" outlineLevel="7">
      <c r="A478" s="164" t="s">
        <v>9</v>
      </c>
      <c r="B478" s="163" t="s">
        <v>505</v>
      </c>
      <c r="C478" s="163" t="s">
        <v>10</v>
      </c>
      <c r="D478" s="163" t="s">
        <v>126</v>
      </c>
      <c r="E478" s="169" t="s">
        <v>6</v>
      </c>
      <c r="F478" s="167">
        <f t="shared" ref="F478:G481" si="142">F479</f>
        <v>0</v>
      </c>
      <c r="G478" s="167">
        <f t="shared" si="142"/>
        <v>0</v>
      </c>
    </row>
    <row r="479" spans="1:8" s="266" customFormat="1" ht="36" hidden="1" outlineLevel="7">
      <c r="A479" s="164" t="s">
        <v>132</v>
      </c>
      <c r="B479" s="163" t="s">
        <v>505</v>
      </c>
      <c r="C479" s="163" t="s">
        <v>10</v>
      </c>
      <c r="D479" s="163" t="s">
        <v>127</v>
      </c>
      <c r="E479" s="169" t="s">
        <v>6</v>
      </c>
      <c r="F479" s="167">
        <f t="shared" si="142"/>
        <v>0</v>
      </c>
      <c r="G479" s="167">
        <f t="shared" si="142"/>
        <v>0</v>
      </c>
      <c r="H479" s="265"/>
    </row>
    <row r="480" spans="1:8" hidden="1" outlineLevel="7">
      <c r="A480" s="164" t="s">
        <v>120</v>
      </c>
      <c r="B480" s="163" t="s">
        <v>505</v>
      </c>
      <c r="C480" s="163" t="s">
        <v>10</v>
      </c>
      <c r="D480" s="163" t="s">
        <v>143</v>
      </c>
      <c r="E480" s="169" t="s">
        <v>6</v>
      </c>
      <c r="F480" s="167">
        <f t="shared" si="142"/>
        <v>0</v>
      </c>
      <c r="G480" s="167">
        <f t="shared" si="142"/>
        <v>0</v>
      </c>
    </row>
    <row r="481" spans="1:8" ht="90" hidden="1" outlineLevel="7">
      <c r="A481" s="164" t="s">
        <v>11</v>
      </c>
      <c r="B481" s="163" t="s">
        <v>505</v>
      </c>
      <c r="C481" s="163" t="s">
        <v>10</v>
      </c>
      <c r="D481" s="163" t="s">
        <v>143</v>
      </c>
      <c r="E481" s="169" t="s">
        <v>12</v>
      </c>
      <c r="F481" s="167">
        <f t="shared" si="142"/>
        <v>0</v>
      </c>
      <c r="G481" s="167">
        <f t="shared" si="142"/>
        <v>0</v>
      </c>
    </row>
    <row r="482" spans="1:8" ht="21.15" hidden="1" customHeight="1" outlineLevel="7">
      <c r="A482" s="164" t="s">
        <v>13</v>
      </c>
      <c r="B482" s="163" t="s">
        <v>505</v>
      </c>
      <c r="C482" s="163" t="s">
        <v>10</v>
      </c>
      <c r="D482" s="163" t="s">
        <v>143</v>
      </c>
      <c r="E482" s="169" t="s">
        <v>14</v>
      </c>
      <c r="F482" s="167"/>
      <c r="G482" s="167"/>
    </row>
    <row r="483" spans="1:8" s="264" customFormat="1" collapsed="1">
      <c r="A483" s="164" t="s">
        <v>23</v>
      </c>
      <c r="B483" s="163" t="s">
        <v>505</v>
      </c>
      <c r="C483" s="163" t="s">
        <v>24</v>
      </c>
      <c r="D483" s="163" t="s">
        <v>126</v>
      </c>
      <c r="E483" s="169" t="s">
        <v>6</v>
      </c>
      <c r="F483" s="167">
        <f t="shared" ref="F483:G483" si="143">F484+F489</f>
        <v>137280</v>
      </c>
      <c r="G483" s="167">
        <f t="shared" si="143"/>
        <v>137280</v>
      </c>
      <c r="H483" s="267"/>
    </row>
    <row r="484" spans="1:8" s="266" customFormat="1" ht="54" outlineLevel="1">
      <c r="A484" s="196" t="s">
        <v>858</v>
      </c>
      <c r="B484" s="197" t="s">
        <v>505</v>
      </c>
      <c r="C484" s="197" t="s">
        <v>24</v>
      </c>
      <c r="D484" s="197" t="s">
        <v>128</v>
      </c>
      <c r="E484" s="198" t="s">
        <v>6</v>
      </c>
      <c r="F484" s="171">
        <f t="shared" ref="F484:G487" si="144">F485</f>
        <v>33280</v>
      </c>
      <c r="G484" s="171">
        <f t="shared" si="144"/>
        <v>33280</v>
      </c>
      <c r="H484" s="265"/>
    </row>
    <row r="485" spans="1:8" ht="54" outlineLevel="2">
      <c r="A485" s="200" t="s">
        <v>863</v>
      </c>
      <c r="B485" s="163" t="s">
        <v>505</v>
      </c>
      <c r="C485" s="163" t="s">
        <v>24</v>
      </c>
      <c r="D485" s="163" t="s">
        <v>315</v>
      </c>
      <c r="E485" s="169" t="s">
        <v>6</v>
      </c>
      <c r="F485" s="167">
        <f t="shared" si="144"/>
        <v>33280</v>
      </c>
      <c r="G485" s="167">
        <f t="shared" si="144"/>
        <v>33280</v>
      </c>
    </row>
    <row r="486" spans="1:8" s="266" customFormat="1" outlineLevel="3">
      <c r="A486" s="200" t="s">
        <v>321</v>
      </c>
      <c r="B486" s="163" t="s">
        <v>505</v>
      </c>
      <c r="C486" s="163" t="s">
        <v>24</v>
      </c>
      <c r="D486" s="163" t="s">
        <v>316</v>
      </c>
      <c r="E486" s="169" t="s">
        <v>6</v>
      </c>
      <c r="F486" s="167">
        <f t="shared" si="144"/>
        <v>33280</v>
      </c>
      <c r="G486" s="167">
        <f t="shared" si="144"/>
        <v>33280</v>
      </c>
      <c r="H486" s="265"/>
    </row>
    <row r="487" spans="1:8" ht="36" outlineLevel="4">
      <c r="A487" s="164" t="s">
        <v>15</v>
      </c>
      <c r="B487" s="163" t="s">
        <v>505</v>
      </c>
      <c r="C487" s="163" t="s">
        <v>24</v>
      </c>
      <c r="D487" s="163" t="s">
        <v>316</v>
      </c>
      <c r="E487" s="169" t="s">
        <v>16</v>
      </c>
      <c r="F487" s="167">
        <f t="shared" si="144"/>
        <v>33280</v>
      </c>
      <c r="G487" s="167">
        <f t="shared" si="144"/>
        <v>33280</v>
      </c>
    </row>
    <row r="488" spans="1:8" ht="36" outlineLevel="4">
      <c r="A488" s="164" t="s">
        <v>17</v>
      </c>
      <c r="B488" s="163" t="s">
        <v>505</v>
      </c>
      <c r="C488" s="163" t="s">
        <v>24</v>
      </c>
      <c r="D488" s="163" t="s">
        <v>316</v>
      </c>
      <c r="E488" s="169" t="s">
        <v>18</v>
      </c>
      <c r="F488" s="167">
        <v>33280</v>
      </c>
      <c r="G488" s="167">
        <v>33280</v>
      </c>
    </row>
    <row r="489" spans="1:8" s="257" customFormat="1" ht="36" outlineLevel="5">
      <c r="A489" s="196" t="s">
        <v>132</v>
      </c>
      <c r="B489" s="197" t="s">
        <v>505</v>
      </c>
      <c r="C489" s="197" t="s">
        <v>24</v>
      </c>
      <c r="D489" s="197" t="s">
        <v>127</v>
      </c>
      <c r="E489" s="198" t="s">
        <v>6</v>
      </c>
      <c r="F489" s="220">
        <f t="shared" ref="F489:G491" si="145">F490</f>
        <v>104000</v>
      </c>
      <c r="G489" s="220">
        <f t="shared" si="145"/>
        <v>104000</v>
      </c>
    </row>
    <row r="490" spans="1:8" s="257" customFormat="1" ht="36" outlineLevel="6">
      <c r="A490" s="164" t="s">
        <v>536</v>
      </c>
      <c r="B490" s="163" t="s">
        <v>505</v>
      </c>
      <c r="C490" s="163" t="s">
        <v>24</v>
      </c>
      <c r="D490" s="213">
        <v>9909970201</v>
      </c>
      <c r="E490" s="169" t="s">
        <v>6</v>
      </c>
      <c r="F490" s="218">
        <f t="shared" si="145"/>
        <v>104000</v>
      </c>
      <c r="G490" s="218">
        <f t="shared" si="145"/>
        <v>104000</v>
      </c>
    </row>
    <row r="491" spans="1:8" s="257" customFormat="1" ht="36" outlineLevel="7">
      <c r="A491" s="164" t="s">
        <v>15</v>
      </c>
      <c r="B491" s="163" t="s">
        <v>505</v>
      </c>
      <c r="C491" s="163" t="s">
        <v>24</v>
      </c>
      <c r="D491" s="213">
        <v>9909970201</v>
      </c>
      <c r="E491" s="169" t="s">
        <v>16</v>
      </c>
      <c r="F491" s="218">
        <f t="shared" si="145"/>
        <v>104000</v>
      </c>
      <c r="G491" s="218">
        <f t="shared" si="145"/>
        <v>104000</v>
      </c>
    </row>
    <row r="492" spans="1:8" s="257" customFormat="1" ht="41.25" customHeight="1" outlineLevel="7">
      <c r="A492" s="164" t="s">
        <v>17</v>
      </c>
      <c r="B492" s="163" t="s">
        <v>505</v>
      </c>
      <c r="C492" s="163" t="s">
        <v>24</v>
      </c>
      <c r="D492" s="213">
        <v>9909970201</v>
      </c>
      <c r="E492" s="169" t="s">
        <v>18</v>
      </c>
      <c r="F492" s="167">
        <v>104000</v>
      </c>
      <c r="G492" s="167">
        <v>104000</v>
      </c>
    </row>
    <row r="493" spans="1:8" s="257" customFormat="1" ht="52.2" outlineLevel="7">
      <c r="A493" s="191" t="s">
        <v>550</v>
      </c>
      <c r="B493" s="192" t="s">
        <v>540</v>
      </c>
      <c r="C493" s="192" t="s">
        <v>5</v>
      </c>
      <c r="D493" s="192" t="s">
        <v>126</v>
      </c>
      <c r="E493" s="193" t="s">
        <v>6</v>
      </c>
      <c r="F493" s="215">
        <f>F494+F633+F649</f>
        <v>586681228.48000002</v>
      </c>
      <c r="G493" s="215">
        <f>G494+G633+G649</f>
        <v>608475257.40999997</v>
      </c>
    </row>
    <row r="494" spans="1:8" s="257" customFormat="1" outlineLevel="7">
      <c r="A494" s="196" t="s">
        <v>69</v>
      </c>
      <c r="B494" s="197" t="s">
        <v>540</v>
      </c>
      <c r="C494" s="197" t="s">
        <v>70</v>
      </c>
      <c r="D494" s="197" t="s">
        <v>126</v>
      </c>
      <c r="E494" s="198" t="s">
        <v>6</v>
      </c>
      <c r="F494" s="171">
        <f>F495+F531+F594+F613+F571</f>
        <v>582192159.48000002</v>
      </c>
      <c r="G494" s="171">
        <f>G495+G531+G594+G613+G571</f>
        <v>603986188.40999997</v>
      </c>
    </row>
    <row r="495" spans="1:8" s="257" customFormat="1" outlineLevel="7">
      <c r="A495" s="164" t="s">
        <v>110</v>
      </c>
      <c r="B495" s="163" t="s">
        <v>540</v>
      </c>
      <c r="C495" s="163" t="s">
        <v>111</v>
      </c>
      <c r="D495" s="163" t="s">
        <v>126</v>
      </c>
      <c r="E495" s="169" t="s">
        <v>6</v>
      </c>
      <c r="F495" s="167">
        <f t="shared" ref="F495:G496" si="146">F496</f>
        <v>136647891</v>
      </c>
      <c r="G495" s="167">
        <f t="shared" si="146"/>
        <v>141527643.09999999</v>
      </c>
    </row>
    <row r="496" spans="1:8" s="257" customFormat="1" ht="54" outlineLevel="7">
      <c r="A496" s="196" t="s">
        <v>853</v>
      </c>
      <c r="B496" s="197" t="s">
        <v>540</v>
      </c>
      <c r="C496" s="197" t="s">
        <v>111</v>
      </c>
      <c r="D496" s="197" t="s">
        <v>138</v>
      </c>
      <c r="E496" s="198" t="s">
        <v>6</v>
      </c>
      <c r="F496" s="171">
        <f t="shared" si="146"/>
        <v>136647891</v>
      </c>
      <c r="G496" s="171">
        <f t="shared" si="146"/>
        <v>141527643.09999999</v>
      </c>
    </row>
    <row r="497" spans="1:7" s="257" customFormat="1" ht="36" outlineLevel="7">
      <c r="A497" s="164" t="s">
        <v>862</v>
      </c>
      <c r="B497" s="163" t="s">
        <v>540</v>
      </c>
      <c r="C497" s="163" t="s">
        <v>111</v>
      </c>
      <c r="D497" s="163" t="s">
        <v>139</v>
      </c>
      <c r="E497" s="169" t="s">
        <v>6</v>
      </c>
      <c r="F497" s="167">
        <f>F498+F505</f>
        <v>136647891</v>
      </c>
      <c r="G497" s="167">
        <f>G498+G505</f>
        <v>141527643.09999999</v>
      </c>
    </row>
    <row r="498" spans="1:7" s="257" customFormat="1" ht="54" outlineLevel="7">
      <c r="A498" s="200" t="s">
        <v>202</v>
      </c>
      <c r="B498" s="163" t="s">
        <v>540</v>
      </c>
      <c r="C498" s="163" t="s">
        <v>111</v>
      </c>
      <c r="D498" s="163" t="s">
        <v>219</v>
      </c>
      <c r="E498" s="169" t="s">
        <v>6</v>
      </c>
      <c r="F498" s="167">
        <f>F499+F502</f>
        <v>134598391</v>
      </c>
      <c r="G498" s="167">
        <f>G499+G502</f>
        <v>140978143.09999999</v>
      </c>
    </row>
    <row r="499" spans="1:7" s="257" customFormat="1" ht="54" outlineLevel="7">
      <c r="A499" s="164" t="s">
        <v>113</v>
      </c>
      <c r="B499" s="163" t="s">
        <v>540</v>
      </c>
      <c r="C499" s="163" t="s">
        <v>111</v>
      </c>
      <c r="D499" s="163" t="s">
        <v>144</v>
      </c>
      <c r="E499" s="169" t="s">
        <v>6</v>
      </c>
      <c r="F499" s="167">
        <f t="shared" ref="F499:G500" si="147">F500</f>
        <v>48674961</v>
      </c>
      <c r="G499" s="167">
        <f t="shared" si="147"/>
        <v>50130008.100000001</v>
      </c>
    </row>
    <row r="500" spans="1:7" s="257" customFormat="1" ht="36" outlineLevel="7">
      <c r="A500" s="164" t="s">
        <v>37</v>
      </c>
      <c r="B500" s="163" t="s">
        <v>540</v>
      </c>
      <c r="C500" s="163" t="s">
        <v>111</v>
      </c>
      <c r="D500" s="163" t="s">
        <v>144</v>
      </c>
      <c r="E500" s="169" t="s">
        <v>38</v>
      </c>
      <c r="F500" s="167">
        <f t="shared" si="147"/>
        <v>48674961</v>
      </c>
      <c r="G500" s="167">
        <f t="shared" si="147"/>
        <v>50130008.100000001</v>
      </c>
    </row>
    <row r="501" spans="1:7" s="257" customFormat="1" outlineLevel="7">
      <c r="A501" s="164" t="s">
        <v>74</v>
      </c>
      <c r="B501" s="163" t="s">
        <v>540</v>
      </c>
      <c r="C501" s="163" t="s">
        <v>111</v>
      </c>
      <c r="D501" s="163" t="s">
        <v>144</v>
      </c>
      <c r="E501" s="169" t="s">
        <v>75</v>
      </c>
      <c r="F501" s="218">
        <v>48674961</v>
      </c>
      <c r="G501" s="218">
        <v>50130008.100000001</v>
      </c>
    </row>
    <row r="502" spans="1:7" s="257" customFormat="1" ht="108" outlineLevel="7">
      <c r="A502" s="200" t="s">
        <v>397</v>
      </c>
      <c r="B502" s="163" t="s">
        <v>540</v>
      </c>
      <c r="C502" s="163" t="s">
        <v>111</v>
      </c>
      <c r="D502" s="163" t="s">
        <v>145</v>
      </c>
      <c r="E502" s="169" t="s">
        <v>6</v>
      </c>
      <c r="F502" s="167">
        <f t="shared" ref="F502:G503" si="148">F503</f>
        <v>85923430</v>
      </c>
      <c r="G502" s="167">
        <f t="shared" si="148"/>
        <v>90848135</v>
      </c>
    </row>
    <row r="503" spans="1:7" s="257" customFormat="1" ht="36" outlineLevel="7">
      <c r="A503" s="164" t="s">
        <v>37</v>
      </c>
      <c r="B503" s="163" t="s">
        <v>540</v>
      </c>
      <c r="C503" s="163" t="s">
        <v>111</v>
      </c>
      <c r="D503" s="163" t="s">
        <v>145</v>
      </c>
      <c r="E503" s="169" t="s">
        <v>38</v>
      </c>
      <c r="F503" s="167">
        <f t="shared" si="148"/>
        <v>85923430</v>
      </c>
      <c r="G503" s="167">
        <f t="shared" si="148"/>
        <v>90848135</v>
      </c>
    </row>
    <row r="504" spans="1:7" s="257" customFormat="1" ht="24.75" customHeight="1" outlineLevel="7">
      <c r="A504" s="164" t="s">
        <v>74</v>
      </c>
      <c r="B504" s="163" t="s">
        <v>540</v>
      </c>
      <c r="C504" s="163" t="s">
        <v>111</v>
      </c>
      <c r="D504" s="163" t="s">
        <v>145</v>
      </c>
      <c r="E504" s="169" t="s">
        <v>75</v>
      </c>
      <c r="F504" s="111">
        <v>85923430</v>
      </c>
      <c r="G504" s="111">
        <v>90848135</v>
      </c>
    </row>
    <row r="505" spans="1:7" s="257" customFormat="1" ht="36" outlineLevel="7">
      <c r="A505" s="200" t="s">
        <v>203</v>
      </c>
      <c r="B505" s="163" t="s">
        <v>540</v>
      </c>
      <c r="C505" s="163" t="s">
        <v>111</v>
      </c>
      <c r="D505" s="163" t="s">
        <v>221</v>
      </c>
      <c r="E505" s="169" t="s">
        <v>6</v>
      </c>
      <c r="F505" s="184">
        <f>F524+F506+F509+F512+F515</f>
        <v>2049500</v>
      </c>
      <c r="G505" s="184">
        <f>G524+G506+G509+G512+G515</f>
        <v>549500</v>
      </c>
    </row>
    <row r="506" spans="1:7" s="257" customFormat="1" ht="39.75" customHeight="1" outlineLevel="7">
      <c r="A506" s="164" t="s">
        <v>282</v>
      </c>
      <c r="B506" s="163" t="s">
        <v>540</v>
      </c>
      <c r="C506" s="163" t="s">
        <v>111</v>
      </c>
      <c r="D506" s="163" t="s">
        <v>283</v>
      </c>
      <c r="E506" s="169" t="s">
        <v>6</v>
      </c>
      <c r="F506" s="184">
        <f t="shared" ref="F506:G507" si="149">F507</f>
        <v>97500</v>
      </c>
      <c r="G506" s="184">
        <f t="shared" si="149"/>
        <v>97500</v>
      </c>
    </row>
    <row r="507" spans="1:7" s="257" customFormat="1" ht="0.75" customHeight="1" outlineLevel="7">
      <c r="A507" s="164" t="s">
        <v>37</v>
      </c>
      <c r="B507" s="163" t="s">
        <v>540</v>
      </c>
      <c r="C507" s="163" t="s">
        <v>111</v>
      </c>
      <c r="D507" s="163" t="s">
        <v>283</v>
      </c>
      <c r="E507" s="169" t="s">
        <v>38</v>
      </c>
      <c r="F507" s="184">
        <f t="shared" si="149"/>
        <v>97500</v>
      </c>
      <c r="G507" s="184">
        <f t="shared" si="149"/>
        <v>97500</v>
      </c>
    </row>
    <row r="508" spans="1:7" s="257" customFormat="1" outlineLevel="7">
      <c r="A508" s="164" t="s">
        <v>74</v>
      </c>
      <c r="B508" s="163" t="s">
        <v>540</v>
      </c>
      <c r="C508" s="163" t="s">
        <v>111</v>
      </c>
      <c r="D508" s="163" t="s">
        <v>283</v>
      </c>
      <c r="E508" s="169" t="s">
        <v>75</v>
      </c>
      <c r="F508" s="184">
        <v>97500</v>
      </c>
      <c r="G508" s="184">
        <v>97500</v>
      </c>
    </row>
    <row r="509" spans="1:7" s="257" customFormat="1" ht="36" outlineLevel="7">
      <c r="A509" s="164" t="s">
        <v>268</v>
      </c>
      <c r="B509" s="163" t="s">
        <v>540</v>
      </c>
      <c r="C509" s="163" t="s">
        <v>111</v>
      </c>
      <c r="D509" s="163" t="s">
        <v>284</v>
      </c>
      <c r="E509" s="169" t="s">
        <v>6</v>
      </c>
      <c r="F509" s="218">
        <f t="shared" ref="F509:G509" si="150">F510</f>
        <v>152000</v>
      </c>
      <c r="G509" s="218">
        <f t="shared" si="150"/>
        <v>152000</v>
      </c>
    </row>
    <row r="510" spans="1:7" s="257" customFormat="1" ht="36" outlineLevel="7">
      <c r="A510" s="164" t="s">
        <v>37</v>
      </c>
      <c r="B510" s="163" t="s">
        <v>540</v>
      </c>
      <c r="C510" s="163" t="s">
        <v>111</v>
      </c>
      <c r="D510" s="163" t="s">
        <v>284</v>
      </c>
      <c r="E510" s="169" t="s">
        <v>38</v>
      </c>
      <c r="F510" s="218">
        <f>F511</f>
        <v>152000</v>
      </c>
      <c r="G510" s="218">
        <f>G511</f>
        <v>152000</v>
      </c>
    </row>
    <row r="511" spans="1:7" s="257" customFormat="1" outlineLevel="7">
      <c r="A511" s="164" t="s">
        <v>74</v>
      </c>
      <c r="B511" s="163" t="s">
        <v>540</v>
      </c>
      <c r="C511" s="163" t="s">
        <v>111</v>
      </c>
      <c r="D511" s="163" t="s">
        <v>284</v>
      </c>
      <c r="E511" s="169" t="s">
        <v>75</v>
      </c>
      <c r="F511" s="184">
        <v>152000</v>
      </c>
      <c r="G511" s="184">
        <v>152000</v>
      </c>
    </row>
    <row r="512" spans="1:7" s="257" customFormat="1" outlineLevel="7">
      <c r="A512" s="164" t="s">
        <v>311</v>
      </c>
      <c r="B512" s="163" t="s">
        <v>540</v>
      </c>
      <c r="C512" s="163" t="s">
        <v>111</v>
      </c>
      <c r="D512" s="163" t="s">
        <v>538</v>
      </c>
      <c r="E512" s="163" t="s">
        <v>6</v>
      </c>
      <c r="F512" s="184">
        <f t="shared" ref="F512:G513" si="151">F513</f>
        <v>400000</v>
      </c>
      <c r="G512" s="184">
        <f t="shared" si="151"/>
        <v>200000</v>
      </c>
    </row>
    <row r="513" spans="1:8" s="257" customFormat="1" ht="36" outlineLevel="7">
      <c r="A513" s="164" t="s">
        <v>37</v>
      </c>
      <c r="B513" s="163" t="s">
        <v>540</v>
      </c>
      <c r="C513" s="163" t="s">
        <v>111</v>
      </c>
      <c r="D513" s="163" t="s">
        <v>538</v>
      </c>
      <c r="E513" s="163" t="s">
        <v>38</v>
      </c>
      <c r="F513" s="184">
        <f t="shared" si="151"/>
        <v>400000</v>
      </c>
      <c r="G513" s="184">
        <f t="shared" si="151"/>
        <v>200000</v>
      </c>
    </row>
    <row r="514" spans="1:8" outlineLevel="7">
      <c r="A514" s="164" t="s">
        <v>74</v>
      </c>
      <c r="B514" s="163" t="s">
        <v>540</v>
      </c>
      <c r="C514" s="163" t="s">
        <v>111</v>
      </c>
      <c r="D514" s="163" t="s">
        <v>538</v>
      </c>
      <c r="E514" s="163" t="s">
        <v>75</v>
      </c>
      <c r="F514" s="184">
        <v>400000</v>
      </c>
      <c r="G514" s="184">
        <v>200000</v>
      </c>
    </row>
    <row r="515" spans="1:8" ht="54" outlineLevel="7">
      <c r="A515" s="200" t="s">
        <v>459</v>
      </c>
      <c r="B515" s="163" t="s">
        <v>540</v>
      </c>
      <c r="C515" s="163" t="s">
        <v>111</v>
      </c>
      <c r="D515" s="163" t="s">
        <v>460</v>
      </c>
      <c r="E515" s="163" t="s">
        <v>6</v>
      </c>
      <c r="F515" s="184">
        <f t="shared" ref="F515:G516" si="152">F516</f>
        <v>1400000</v>
      </c>
      <c r="G515" s="184">
        <f t="shared" si="152"/>
        <v>100000</v>
      </c>
    </row>
    <row r="516" spans="1:8" ht="36" outlineLevel="7">
      <c r="A516" s="164" t="s">
        <v>37</v>
      </c>
      <c r="B516" s="163" t="s">
        <v>540</v>
      </c>
      <c r="C516" s="163" t="s">
        <v>111</v>
      </c>
      <c r="D516" s="163" t="s">
        <v>460</v>
      </c>
      <c r="E516" s="163" t="s">
        <v>38</v>
      </c>
      <c r="F516" s="184">
        <f t="shared" si="152"/>
        <v>1400000</v>
      </c>
      <c r="G516" s="184">
        <f t="shared" si="152"/>
        <v>100000</v>
      </c>
    </row>
    <row r="517" spans="1:8" ht="18.75" customHeight="1" outlineLevel="2">
      <c r="A517" s="164" t="s">
        <v>74</v>
      </c>
      <c r="B517" s="163" t="s">
        <v>540</v>
      </c>
      <c r="C517" s="163" t="s">
        <v>111</v>
      </c>
      <c r="D517" s="163" t="s">
        <v>460</v>
      </c>
      <c r="E517" s="163" t="s">
        <v>75</v>
      </c>
      <c r="F517" s="184">
        <v>1400000</v>
      </c>
      <c r="G517" s="184">
        <v>100000</v>
      </c>
    </row>
    <row r="518" spans="1:8" s="266" customFormat="1" ht="0.75" customHeight="1" outlineLevel="3">
      <c r="A518" s="164" t="s">
        <v>739</v>
      </c>
      <c r="B518" s="163" t="s">
        <v>540</v>
      </c>
      <c r="C518" s="163" t="s">
        <v>111</v>
      </c>
      <c r="D518" s="163" t="s">
        <v>740</v>
      </c>
      <c r="E518" s="163" t="s">
        <v>6</v>
      </c>
      <c r="F518" s="184">
        <f t="shared" ref="F518:G519" si="153">F519</f>
        <v>0</v>
      </c>
      <c r="G518" s="184">
        <f t="shared" si="153"/>
        <v>0</v>
      </c>
      <c r="H518" s="265"/>
    </row>
    <row r="519" spans="1:8" ht="13.65" hidden="1" customHeight="1" outlineLevel="4">
      <c r="A519" s="164" t="s">
        <v>37</v>
      </c>
      <c r="B519" s="163" t="s">
        <v>540</v>
      </c>
      <c r="C519" s="163" t="s">
        <v>111</v>
      </c>
      <c r="D519" s="163" t="s">
        <v>740</v>
      </c>
      <c r="E519" s="163" t="s">
        <v>38</v>
      </c>
      <c r="F519" s="184">
        <f t="shared" si="153"/>
        <v>0</v>
      </c>
      <c r="G519" s="184">
        <f t="shared" si="153"/>
        <v>0</v>
      </c>
    </row>
    <row r="520" spans="1:8" ht="20.25" hidden="1" customHeight="1" outlineLevel="4">
      <c r="A520" s="164" t="s">
        <v>74</v>
      </c>
      <c r="B520" s="163" t="s">
        <v>540</v>
      </c>
      <c r="C520" s="163" t="s">
        <v>111</v>
      </c>
      <c r="D520" s="163" t="s">
        <v>740</v>
      </c>
      <c r="E520" s="163" t="s">
        <v>75</v>
      </c>
      <c r="F520" s="184"/>
      <c r="G520" s="184"/>
    </row>
    <row r="521" spans="1:8" ht="83.25" hidden="1" customHeight="1" outlineLevel="4">
      <c r="A521" s="187" t="s">
        <v>600</v>
      </c>
      <c r="B521" s="163" t="s">
        <v>540</v>
      </c>
      <c r="C521" s="163" t="s">
        <v>111</v>
      </c>
      <c r="D521" s="163" t="s">
        <v>601</v>
      </c>
      <c r="E521" s="163" t="s">
        <v>6</v>
      </c>
      <c r="F521" s="184">
        <f t="shared" ref="F521:G522" si="154">F522</f>
        <v>0</v>
      </c>
      <c r="G521" s="184">
        <f t="shared" si="154"/>
        <v>0</v>
      </c>
    </row>
    <row r="522" spans="1:8" ht="36" hidden="1" outlineLevel="4">
      <c r="A522" s="164" t="s">
        <v>37</v>
      </c>
      <c r="B522" s="163" t="s">
        <v>540</v>
      </c>
      <c r="C522" s="163" t="s">
        <v>111</v>
      </c>
      <c r="D522" s="163" t="s">
        <v>601</v>
      </c>
      <c r="E522" s="163" t="s">
        <v>38</v>
      </c>
      <c r="F522" s="184">
        <f t="shared" si="154"/>
        <v>0</v>
      </c>
      <c r="G522" s="184">
        <f t="shared" si="154"/>
        <v>0</v>
      </c>
    </row>
    <row r="523" spans="1:8" hidden="1" outlineLevel="4">
      <c r="A523" s="164" t="s">
        <v>74</v>
      </c>
      <c r="B523" s="163" t="s">
        <v>540</v>
      </c>
      <c r="C523" s="163" t="s">
        <v>111</v>
      </c>
      <c r="D523" s="163" t="s">
        <v>601</v>
      </c>
      <c r="E523" s="163" t="s">
        <v>75</v>
      </c>
      <c r="F523" s="184">
        <v>0</v>
      </c>
      <c r="G523" s="184">
        <v>0</v>
      </c>
    </row>
    <row r="524" spans="1:8" ht="72" hidden="1" outlineLevel="5">
      <c r="A524" s="164" t="s">
        <v>444</v>
      </c>
      <c r="B524" s="163" t="s">
        <v>540</v>
      </c>
      <c r="C524" s="163" t="s">
        <v>111</v>
      </c>
      <c r="D524" s="163" t="s">
        <v>445</v>
      </c>
      <c r="E524" s="169" t="s">
        <v>6</v>
      </c>
      <c r="F524" s="218">
        <f t="shared" ref="F524:G525" si="155">F525</f>
        <v>0</v>
      </c>
      <c r="G524" s="218">
        <f t="shared" si="155"/>
        <v>0</v>
      </c>
    </row>
    <row r="525" spans="1:8" ht="36.75" hidden="1" customHeight="1" outlineLevel="6">
      <c r="A525" s="164" t="s">
        <v>37</v>
      </c>
      <c r="B525" s="163" t="s">
        <v>540</v>
      </c>
      <c r="C525" s="163" t="s">
        <v>111</v>
      </c>
      <c r="D525" s="163" t="s">
        <v>445</v>
      </c>
      <c r="E525" s="169" t="s">
        <v>38</v>
      </c>
      <c r="F525" s="218">
        <f t="shared" si="155"/>
        <v>0</v>
      </c>
      <c r="G525" s="218">
        <f t="shared" si="155"/>
        <v>0</v>
      </c>
    </row>
    <row r="526" spans="1:8" ht="18" hidden="1" customHeight="1" outlineLevel="7">
      <c r="A526" s="164" t="s">
        <v>74</v>
      </c>
      <c r="B526" s="163" t="s">
        <v>540</v>
      </c>
      <c r="C526" s="163" t="s">
        <v>111</v>
      </c>
      <c r="D526" s="163" t="s">
        <v>445</v>
      </c>
      <c r="E526" s="169" t="s">
        <v>75</v>
      </c>
      <c r="F526" s="184"/>
      <c r="G526" s="184"/>
    </row>
    <row r="527" spans="1:8" ht="17.399999999999999" hidden="1" customHeight="1" outlineLevel="5">
      <c r="A527" s="201" t="s">
        <v>602</v>
      </c>
      <c r="B527" s="163" t="s">
        <v>540</v>
      </c>
      <c r="C527" s="163" t="s">
        <v>111</v>
      </c>
      <c r="D527" s="163" t="s">
        <v>603</v>
      </c>
      <c r="E527" s="163" t="s">
        <v>6</v>
      </c>
      <c r="F527" s="184">
        <f t="shared" ref="F527:G529" si="156">F528</f>
        <v>0</v>
      </c>
      <c r="G527" s="184">
        <f t="shared" si="156"/>
        <v>0</v>
      </c>
    </row>
    <row r="528" spans="1:8" ht="14.25" hidden="1" customHeight="1" outlineLevel="5">
      <c r="A528" s="200" t="s">
        <v>567</v>
      </c>
      <c r="B528" s="163" t="s">
        <v>540</v>
      </c>
      <c r="C528" s="163" t="s">
        <v>111</v>
      </c>
      <c r="D528" s="163" t="s">
        <v>686</v>
      </c>
      <c r="E528" s="163" t="s">
        <v>6</v>
      </c>
      <c r="F528" s="184">
        <f t="shared" si="156"/>
        <v>0</v>
      </c>
      <c r="G528" s="184">
        <f t="shared" si="156"/>
        <v>0</v>
      </c>
    </row>
    <row r="529" spans="1:7" ht="31.65" hidden="1" customHeight="1" outlineLevel="5">
      <c r="A529" s="164" t="s">
        <v>264</v>
      </c>
      <c r="B529" s="163" t="s">
        <v>540</v>
      </c>
      <c r="C529" s="163" t="s">
        <v>111</v>
      </c>
      <c r="D529" s="163" t="s">
        <v>686</v>
      </c>
      <c r="E529" s="163" t="s">
        <v>265</v>
      </c>
      <c r="F529" s="184">
        <f t="shared" si="156"/>
        <v>0</v>
      </c>
      <c r="G529" s="184">
        <f t="shared" si="156"/>
        <v>0</v>
      </c>
    </row>
    <row r="530" spans="1:7" s="257" customFormat="1" ht="4.6500000000000004" customHeight="1" outlineLevel="5">
      <c r="A530" s="164" t="s">
        <v>266</v>
      </c>
      <c r="B530" s="163" t="s">
        <v>540</v>
      </c>
      <c r="C530" s="163" t="s">
        <v>111</v>
      </c>
      <c r="D530" s="163" t="s">
        <v>686</v>
      </c>
      <c r="E530" s="163" t="s">
        <v>267</v>
      </c>
      <c r="F530" s="184">
        <v>0</v>
      </c>
      <c r="G530" s="184">
        <v>0</v>
      </c>
    </row>
    <row r="531" spans="1:7" s="257" customFormat="1" outlineLevel="5">
      <c r="A531" s="164" t="s">
        <v>71</v>
      </c>
      <c r="B531" s="163" t="s">
        <v>540</v>
      </c>
      <c r="C531" s="163" t="s">
        <v>72</v>
      </c>
      <c r="D531" s="163" t="s">
        <v>126</v>
      </c>
      <c r="E531" s="169" t="s">
        <v>6</v>
      </c>
      <c r="F531" s="167">
        <f t="shared" ref="F531:G532" si="157">F532</f>
        <v>393443029.48000002</v>
      </c>
      <c r="G531" s="167">
        <f t="shared" si="157"/>
        <v>410357303.31</v>
      </c>
    </row>
    <row r="532" spans="1:7" s="257" customFormat="1" ht="54" outlineLevel="5">
      <c r="A532" s="196" t="s">
        <v>853</v>
      </c>
      <c r="B532" s="197" t="s">
        <v>540</v>
      </c>
      <c r="C532" s="197" t="s">
        <v>72</v>
      </c>
      <c r="D532" s="197" t="s">
        <v>138</v>
      </c>
      <c r="E532" s="198" t="s">
        <v>6</v>
      </c>
      <c r="F532" s="171">
        <f t="shared" si="157"/>
        <v>393443029.48000002</v>
      </c>
      <c r="G532" s="171">
        <f t="shared" si="157"/>
        <v>410357303.31</v>
      </c>
    </row>
    <row r="533" spans="1:7" s="257" customFormat="1" ht="58.65" customHeight="1" outlineLevel="5">
      <c r="A533" s="164" t="s">
        <v>859</v>
      </c>
      <c r="B533" s="163" t="s">
        <v>540</v>
      </c>
      <c r="C533" s="163" t="s">
        <v>72</v>
      </c>
      <c r="D533" s="163" t="s">
        <v>146</v>
      </c>
      <c r="E533" s="169" t="s">
        <v>6</v>
      </c>
      <c r="F533" s="167">
        <f>F534+F547+F563+F567</f>
        <v>393443029.48000002</v>
      </c>
      <c r="G533" s="167">
        <f>G534+G547+G563+G567</f>
        <v>410357303.31</v>
      </c>
    </row>
    <row r="534" spans="1:7" s="257" customFormat="1" ht="54" outlineLevel="5">
      <c r="A534" s="200" t="s">
        <v>205</v>
      </c>
      <c r="B534" s="163" t="s">
        <v>540</v>
      </c>
      <c r="C534" s="163" t="s">
        <v>72</v>
      </c>
      <c r="D534" s="163" t="s">
        <v>222</v>
      </c>
      <c r="E534" s="169" t="s">
        <v>6</v>
      </c>
      <c r="F534" s="167">
        <f>F535+F538+F541+F544</f>
        <v>383315369.17000002</v>
      </c>
      <c r="G534" s="167">
        <f>G535+G538+G541+G544</f>
        <v>400929643</v>
      </c>
    </row>
    <row r="535" spans="1:7" s="257" customFormat="1" ht="72" outlineLevel="5">
      <c r="A535" s="33" t="s">
        <v>604</v>
      </c>
      <c r="B535" s="163" t="s">
        <v>540</v>
      </c>
      <c r="C535" s="163" t="s">
        <v>72</v>
      </c>
      <c r="D535" s="163" t="s">
        <v>605</v>
      </c>
      <c r="E535" s="169" t="s">
        <v>6</v>
      </c>
      <c r="F535" s="167">
        <f t="shared" ref="F535:G536" si="158">F536</f>
        <v>20475000</v>
      </c>
      <c r="G535" s="167">
        <f t="shared" si="158"/>
        <v>23400000</v>
      </c>
    </row>
    <row r="536" spans="1:7" s="257" customFormat="1" ht="36" outlineLevel="5">
      <c r="A536" s="164" t="s">
        <v>37</v>
      </c>
      <c r="B536" s="163" t="s">
        <v>540</v>
      </c>
      <c r="C536" s="163" t="s">
        <v>72</v>
      </c>
      <c r="D536" s="163" t="s">
        <v>605</v>
      </c>
      <c r="E536" s="169" t="s">
        <v>38</v>
      </c>
      <c r="F536" s="167">
        <f t="shared" si="158"/>
        <v>20475000</v>
      </c>
      <c r="G536" s="167">
        <f t="shared" si="158"/>
        <v>23400000</v>
      </c>
    </row>
    <row r="537" spans="1:7" s="257" customFormat="1" outlineLevel="5">
      <c r="A537" s="164" t="s">
        <v>74</v>
      </c>
      <c r="B537" s="163" t="s">
        <v>540</v>
      </c>
      <c r="C537" s="163" t="s">
        <v>72</v>
      </c>
      <c r="D537" s="163" t="s">
        <v>605</v>
      </c>
      <c r="E537" s="169" t="s">
        <v>75</v>
      </c>
      <c r="F537" s="167">
        <v>20475000</v>
      </c>
      <c r="G537" s="167">
        <f>20475000+2925000</f>
        <v>23400000</v>
      </c>
    </row>
    <row r="538" spans="1:7" s="257" customFormat="1" ht="54" outlineLevel="5">
      <c r="A538" s="164" t="s">
        <v>114</v>
      </c>
      <c r="B538" s="163" t="s">
        <v>540</v>
      </c>
      <c r="C538" s="163" t="s">
        <v>72</v>
      </c>
      <c r="D538" s="163" t="s">
        <v>147</v>
      </c>
      <c r="E538" s="169" t="s">
        <v>6</v>
      </c>
      <c r="F538" s="167">
        <f t="shared" ref="F538:G539" si="159">F539</f>
        <v>98708879.170000002</v>
      </c>
      <c r="G538" s="167">
        <f t="shared" si="159"/>
        <v>98303417</v>
      </c>
    </row>
    <row r="539" spans="1:7" s="257" customFormat="1" ht="36" outlineLevel="5">
      <c r="A539" s="164" t="s">
        <v>37</v>
      </c>
      <c r="B539" s="163" t="s">
        <v>540</v>
      </c>
      <c r="C539" s="163" t="s">
        <v>72</v>
      </c>
      <c r="D539" s="163" t="s">
        <v>147</v>
      </c>
      <c r="E539" s="169" t="s">
        <v>38</v>
      </c>
      <c r="F539" s="167">
        <f t="shared" si="159"/>
        <v>98708879.170000002</v>
      </c>
      <c r="G539" s="167">
        <f t="shared" si="159"/>
        <v>98303417</v>
      </c>
    </row>
    <row r="540" spans="1:7" s="257" customFormat="1" outlineLevel="5">
      <c r="A540" s="164" t="s">
        <v>74</v>
      </c>
      <c r="B540" s="163" t="s">
        <v>540</v>
      </c>
      <c r="C540" s="163" t="s">
        <v>72</v>
      </c>
      <c r="D540" s="163" t="s">
        <v>147</v>
      </c>
      <c r="E540" s="169" t="s">
        <v>75</v>
      </c>
      <c r="F540" s="111">
        <v>98708879.170000002</v>
      </c>
      <c r="G540" s="111">
        <v>98303417</v>
      </c>
    </row>
    <row r="541" spans="1:7" s="257" customFormat="1" ht="144" outlineLevel="5">
      <c r="A541" s="200" t="s">
        <v>400</v>
      </c>
      <c r="B541" s="163" t="s">
        <v>540</v>
      </c>
      <c r="C541" s="163" t="s">
        <v>72</v>
      </c>
      <c r="D541" s="163" t="s">
        <v>148</v>
      </c>
      <c r="E541" s="169" t="s">
        <v>6</v>
      </c>
      <c r="F541" s="167">
        <f t="shared" ref="F541:G542" si="160">F542</f>
        <v>253254890</v>
      </c>
      <c r="G541" s="167">
        <f t="shared" si="160"/>
        <v>268349626</v>
      </c>
    </row>
    <row r="542" spans="1:7" s="257" customFormat="1" ht="36" outlineLevel="5">
      <c r="A542" s="164" t="s">
        <v>37</v>
      </c>
      <c r="B542" s="163" t="s">
        <v>540</v>
      </c>
      <c r="C542" s="163" t="s">
        <v>72</v>
      </c>
      <c r="D542" s="163" t="s">
        <v>148</v>
      </c>
      <c r="E542" s="169" t="s">
        <v>38</v>
      </c>
      <c r="F542" s="167">
        <f t="shared" si="160"/>
        <v>253254890</v>
      </c>
      <c r="G542" s="167">
        <f t="shared" si="160"/>
        <v>268349626</v>
      </c>
    </row>
    <row r="543" spans="1:7" s="257" customFormat="1" outlineLevel="5">
      <c r="A543" s="164" t="s">
        <v>74</v>
      </c>
      <c r="B543" s="163" t="s">
        <v>540</v>
      </c>
      <c r="C543" s="163" t="s">
        <v>72</v>
      </c>
      <c r="D543" s="163" t="s">
        <v>148</v>
      </c>
      <c r="E543" s="169" t="s">
        <v>75</v>
      </c>
      <c r="F543" s="184">
        <v>253254890</v>
      </c>
      <c r="G543" s="184">
        <v>268349626</v>
      </c>
    </row>
    <row r="544" spans="1:7" s="257" customFormat="1" ht="144" outlineLevel="5">
      <c r="A544" s="33" t="s">
        <v>471</v>
      </c>
      <c r="B544" s="163" t="s">
        <v>540</v>
      </c>
      <c r="C544" s="163" t="s">
        <v>72</v>
      </c>
      <c r="D544" s="163" t="s">
        <v>472</v>
      </c>
      <c r="E544" s="169" t="s">
        <v>6</v>
      </c>
      <c r="F544" s="184">
        <f t="shared" ref="F544:G545" si="161">F545</f>
        <v>10876600</v>
      </c>
      <c r="G544" s="184">
        <f t="shared" si="161"/>
        <v>10876600</v>
      </c>
    </row>
    <row r="545" spans="1:8" s="257" customFormat="1" ht="36" outlineLevel="5">
      <c r="A545" s="164" t="s">
        <v>37</v>
      </c>
      <c r="B545" s="163" t="s">
        <v>540</v>
      </c>
      <c r="C545" s="163" t="s">
        <v>72</v>
      </c>
      <c r="D545" s="163" t="s">
        <v>472</v>
      </c>
      <c r="E545" s="169" t="s">
        <v>38</v>
      </c>
      <c r="F545" s="184">
        <f t="shared" si="161"/>
        <v>10876600</v>
      </c>
      <c r="G545" s="184">
        <f t="shared" si="161"/>
        <v>10876600</v>
      </c>
    </row>
    <row r="546" spans="1:8" outlineLevel="5">
      <c r="A546" s="164" t="s">
        <v>74</v>
      </c>
      <c r="B546" s="163" t="s">
        <v>540</v>
      </c>
      <c r="C546" s="163" t="s">
        <v>72</v>
      </c>
      <c r="D546" s="163" t="s">
        <v>472</v>
      </c>
      <c r="E546" s="169" t="s">
        <v>75</v>
      </c>
      <c r="F546" s="184">
        <v>10876600</v>
      </c>
      <c r="G546" s="184">
        <v>10876600</v>
      </c>
    </row>
    <row r="547" spans="1:8" ht="36" outlineLevel="5">
      <c r="A547" s="200" t="s">
        <v>206</v>
      </c>
      <c r="B547" s="163" t="s">
        <v>540</v>
      </c>
      <c r="C547" s="163" t="s">
        <v>72</v>
      </c>
      <c r="D547" s="163" t="s">
        <v>220</v>
      </c>
      <c r="E547" s="169" t="s">
        <v>6</v>
      </c>
      <c r="F547" s="184">
        <f>F560+F548+F551+F557+F554</f>
        <v>1362800</v>
      </c>
      <c r="G547" s="184">
        <f>G560+G548+G551+G557+G554</f>
        <v>662800</v>
      </c>
    </row>
    <row r="548" spans="1:8" ht="36" outlineLevel="5">
      <c r="A548" s="164" t="s">
        <v>268</v>
      </c>
      <c r="B548" s="163" t="s">
        <v>540</v>
      </c>
      <c r="C548" s="163" t="s">
        <v>72</v>
      </c>
      <c r="D548" s="163" t="s">
        <v>269</v>
      </c>
      <c r="E548" s="169" t="s">
        <v>6</v>
      </c>
      <c r="F548" s="218">
        <f t="shared" ref="F548:G549" si="162">F549</f>
        <v>212800</v>
      </c>
      <c r="G548" s="218">
        <f t="shared" si="162"/>
        <v>212800</v>
      </c>
    </row>
    <row r="549" spans="1:8" ht="36" outlineLevel="5">
      <c r="A549" s="164" t="s">
        <v>37</v>
      </c>
      <c r="B549" s="163" t="s">
        <v>540</v>
      </c>
      <c r="C549" s="163" t="s">
        <v>72</v>
      </c>
      <c r="D549" s="163" t="s">
        <v>269</v>
      </c>
      <c r="E549" s="169" t="s">
        <v>38</v>
      </c>
      <c r="F549" s="218">
        <f t="shared" si="162"/>
        <v>212800</v>
      </c>
      <c r="G549" s="218">
        <f t="shared" si="162"/>
        <v>212800</v>
      </c>
    </row>
    <row r="550" spans="1:8" outlineLevel="5">
      <c r="A550" s="164" t="s">
        <v>74</v>
      </c>
      <c r="B550" s="163" t="s">
        <v>540</v>
      </c>
      <c r="C550" s="163" t="s">
        <v>72</v>
      </c>
      <c r="D550" s="163" t="s">
        <v>269</v>
      </c>
      <c r="E550" s="169" t="s">
        <v>75</v>
      </c>
      <c r="F550" s="184">
        <v>212800</v>
      </c>
      <c r="G550" s="184">
        <v>212800</v>
      </c>
    </row>
    <row r="551" spans="1:8" outlineLevel="5">
      <c r="A551" s="221" t="s">
        <v>311</v>
      </c>
      <c r="B551" s="163" t="s">
        <v>540</v>
      </c>
      <c r="C551" s="163" t="s">
        <v>72</v>
      </c>
      <c r="D551" s="163" t="s">
        <v>312</v>
      </c>
      <c r="E551" s="169" t="s">
        <v>6</v>
      </c>
      <c r="F551" s="218">
        <f t="shared" ref="F551:G552" si="163">F552</f>
        <v>350000</v>
      </c>
      <c r="G551" s="218">
        <f t="shared" si="163"/>
        <v>350000</v>
      </c>
    </row>
    <row r="552" spans="1:8" ht="36" outlineLevel="5">
      <c r="A552" s="164" t="s">
        <v>37</v>
      </c>
      <c r="B552" s="163" t="s">
        <v>540</v>
      </c>
      <c r="C552" s="163" t="s">
        <v>72</v>
      </c>
      <c r="D552" s="163" t="s">
        <v>312</v>
      </c>
      <c r="E552" s="169" t="s">
        <v>38</v>
      </c>
      <c r="F552" s="218">
        <f t="shared" si="163"/>
        <v>350000</v>
      </c>
      <c r="G552" s="218">
        <f t="shared" si="163"/>
        <v>350000</v>
      </c>
    </row>
    <row r="553" spans="1:8" outlineLevel="5">
      <c r="A553" s="164" t="s">
        <v>74</v>
      </c>
      <c r="B553" s="163" t="s">
        <v>540</v>
      </c>
      <c r="C553" s="163" t="s">
        <v>72</v>
      </c>
      <c r="D553" s="163" t="s">
        <v>312</v>
      </c>
      <c r="E553" s="169" t="s">
        <v>75</v>
      </c>
      <c r="F553" s="184">
        <v>350000</v>
      </c>
      <c r="G553" s="184">
        <v>350000</v>
      </c>
    </row>
    <row r="554" spans="1:8" ht="39.75" customHeight="1" outlineLevel="5">
      <c r="A554" s="200" t="s">
        <v>459</v>
      </c>
      <c r="B554" s="163" t="s">
        <v>540</v>
      </c>
      <c r="C554" s="163" t="s">
        <v>72</v>
      </c>
      <c r="D554" s="163" t="s">
        <v>734</v>
      </c>
      <c r="E554" s="163" t="s">
        <v>6</v>
      </c>
      <c r="F554" s="184">
        <f t="shared" ref="F554:G555" si="164">F555</f>
        <v>800000</v>
      </c>
      <c r="G554" s="184">
        <f t="shared" si="164"/>
        <v>100000</v>
      </c>
    </row>
    <row r="555" spans="1:8" ht="36" outlineLevel="5">
      <c r="A555" s="164" t="s">
        <v>37</v>
      </c>
      <c r="B555" s="163" t="s">
        <v>540</v>
      </c>
      <c r="C555" s="163" t="s">
        <v>72</v>
      </c>
      <c r="D555" s="163" t="s">
        <v>734</v>
      </c>
      <c r="E555" s="163" t="s">
        <v>38</v>
      </c>
      <c r="F555" s="184">
        <f t="shared" si="164"/>
        <v>800000</v>
      </c>
      <c r="G555" s="184">
        <f t="shared" si="164"/>
        <v>100000</v>
      </c>
    </row>
    <row r="556" spans="1:8" ht="24" customHeight="1" outlineLevel="5">
      <c r="A556" s="164" t="s">
        <v>74</v>
      </c>
      <c r="B556" s="163" t="s">
        <v>540</v>
      </c>
      <c r="C556" s="163" t="s">
        <v>72</v>
      </c>
      <c r="D556" s="163" t="s">
        <v>734</v>
      </c>
      <c r="E556" s="163" t="s">
        <v>75</v>
      </c>
      <c r="F556" s="184">
        <v>800000</v>
      </c>
      <c r="G556" s="184">
        <v>100000</v>
      </c>
    </row>
    <row r="557" spans="1:8" ht="72" hidden="1" outlineLevel="5">
      <c r="A557" s="33" t="s">
        <v>606</v>
      </c>
      <c r="B557" s="163" t="s">
        <v>540</v>
      </c>
      <c r="C557" s="163" t="s">
        <v>72</v>
      </c>
      <c r="D557" s="163" t="s">
        <v>607</v>
      </c>
      <c r="E557" s="163" t="s">
        <v>6</v>
      </c>
      <c r="F557" s="184">
        <f>F558</f>
        <v>0</v>
      </c>
      <c r="G557" s="184">
        <f>G558</f>
        <v>0</v>
      </c>
    </row>
    <row r="558" spans="1:8" s="266" customFormat="1" ht="36" hidden="1" outlineLevel="5">
      <c r="A558" s="164" t="s">
        <v>37</v>
      </c>
      <c r="B558" s="163" t="s">
        <v>540</v>
      </c>
      <c r="C558" s="163" t="s">
        <v>72</v>
      </c>
      <c r="D558" s="163" t="s">
        <v>607</v>
      </c>
      <c r="E558" s="163" t="s">
        <v>38</v>
      </c>
      <c r="F558" s="184">
        <f t="shared" ref="F558:G558" si="165">F559</f>
        <v>0</v>
      </c>
      <c r="G558" s="184">
        <f t="shared" si="165"/>
        <v>0</v>
      </c>
      <c r="H558" s="265"/>
    </row>
    <row r="559" spans="1:8" ht="38.25" hidden="1" customHeight="1" outlineLevel="4">
      <c r="A559" s="164" t="s">
        <v>74</v>
      </c>
      <c r="B559" s="163" t="s">
        <v>540</v>
      </c>
      <c r="C559" s="163" t="s">
        <v>72</v>
      </c>
      <c r="D559" s="163" t="s">
        <v>607</v>
      </c>
      <c r="E559" s="163" t="s">
        <v>75</v>
      </c>
      <c r="F559" s="184"/>
      <c r="G559" s="184"/>
    </row>
    <row r="560" spans="1:8" ht="36" hidden="1" outlineLevel="4">
      <c r="A560" s="164" t="s">
        <v>446</v>
      </c>
      <c r="B560" s="163" t="s">
        <v>540</v>
      </c>
      <c r="C560" s="163" t="s">
        <v>72</v>
      </c>
      <c r="D560" s="163" t="s">
        <v>447</v>
      </c>
      <c r="E560" s="169" t="s">
        <v>6</v>
      </c>
      <c r="F560" s="218">
        <f t="shared" ref="F560:G561" si="166">F561</f>
        <v>0</v>
      </c>
      <c r="G560" s="218">
        <f t="shared" si="166"/>
        <v>0</v>
      </c>
    </row>
    <row r="561" spans="1:7" ht="36" hidden="1" outlineLevel="5">
      <c r="A561" s="164" t="s">
        <v>37</v>
      </c>
      <c r="B561" s="163" t="s">
        <v>540</v>
      </c>
      <c r="C561" s="163" t="s">
        <v>72</v>
      </c>
      <c r="D561" s="163" t="s">
        <v>447</v>
      </c>
      <c r="E561" s="169" t="s">
        <v>38</v>
      </c>
      <c r="F561" s="218">
        <f t="shared" si="166"/>
        <v>0</v>
      </c>
      <c r="G561" s="218">
        <f t="shared" si="166"/>
        <v>0</v>
      </c>
    </row>
    <row r="562" spans="1:7" s="257" customFormat="1" hidden="1" outlineLevel="6">
      <c r="A562" s="164" t="s">
        <v>74</v>
      </c>
      <c r="B562" s="163" t="s">
        <v>540</v>
      </c>
      <c r="C562" s="163" t="s">
        <v>72</v>
      </c>
      <c r="D562" s="163" t="s">
        <v>447</v>
      </c>
      <c r="E562" s="169" t="s">
        <v>75</v>
      </c>
      <c r="F562" s="184"/>
      <c r="G562" s="184"/>
    </row>
    <row r="563" spans="1:7" s="257" customFormat="1" ht="36" outlineLevel="7">
      <c r="A563" s="200" t="s">
        <v>275</v>
      </c>
      <c r="B563" s="163" t="s">
        <v>540</v>
      </c>
      <c r="C563" s="163" t="s">
        <v>72</v>
      </c>
      <c r="D563" s="163" t="s">
        <v>223</v>
      </c>
      <c r="E563" s="169" t="s">
        <v>6</v>
      </c>
      <c r="F563" s="184">
        <f t="shared" ref="F563:G565" si="167">F564</f>
        <v>6188850</v>
      </c>
      <c r="G563" s="184">
        <f t="shared" si="167"/>
        <v>6188850</v>
      </c>
    </row>
    <row r="564" spans="1:7" s="257" customFormat="1" ht="108" outlineLevel="7">
      <c r="A564" s="222" t="s">
        <v>669</v>
      </c>
      <c r="B564" s="163" t="s">
        <v>540</v>
      </c>
      <c r="C564" s="163" t="s">
        <v>72</v>
      </c>
      <c r="D564" s="163" t="s">
        <v>670</v>
      </c>
      <c r="E564" s="169" t="s">
        <v>6</v>
      </c>
      <c r="F564" s="184">
        <f t="shared" si="167"/>
        <v>6188850</v>
      </c>
      <c r="G564" s="184">
        <f t="shared" si="167"/>
        <v>6188850</v>
      </c>
    </row>
    <row r="565" spans="1:7" s="257" customFormat="1" ht="36" outlineLevel="7">
      <c r="A565" s="164" t="s">
        <v>37</v>
      </c>
      <c r="B565" s="163" t="s">
        <v>540</v>
      </c>
      <c r="C565" s="163" t="s">
        <v>72</v>
      </c>
      <c r="D565" s="163" t="s">
        <v>670</v>
      </c>
      <c r="E565" s="169" t="s">
        <v>38</v>
      </c>
      <c r="F565" s="184">
        <f t="shared" si="167"/>
        <v>6188850</v>
      </c>
      <c r="G565" s="184">
        <f t="shared" si="167"/>
        <v>6188850</v>
      </c>
    </row>
    <row r="566" spans="1:7" s="257" customFormat="1" ht="17.399999999999999" customHeight="1" outlineLevel="7">
      <c r="A566" s="164" t="s">
        <v>74</v>
      </c>
      <c r="B566" s="163" t="s">
        <v>540</v>
      </c>
      <c r="C566" s="163" t="s">
        <v>72</v>
      </c>
      <c r="D566" s="163" t="s">
        <v>670</v>
      </c>
      <c r="E566" s="169" t="s">
        <v>75</v>
      </c>
      <c r="F566" s="184">
        <v>6188850</v>
      </c>
      <c r="G566" s="184">
        <v>6188850</v>
      </c>
    </row>
    <row r="567" spans="1:7" s="257" customFormat="1" ht="18.75" customHeight="1" outlineLevel="7">
      <c r="A567" s="33" t="s">
        <v>469</v>
      </c>
      <c r="B567" s="163" t="s">
        <v>540</v>
      </c>
      <c r="C567" s="163" t="s">
        <v>72</v>
      </c>
      <c r="D567" s="163" t="s">
        <v>313</v>
      </c>
      <c r="E567" s="169" t="s">
        <v>6</v>
      </c>
      <c r="F567" s="184">
        <f t="shared" ref="F567:G569" si="168">F568</f>
        <v>2576010.31</v>
      </c>
      <c r="G567" s="184">
        <f t="shared" si="168"/>
        <v>2576010.31</v>
      </c>
    </row>
    <row r="568" spans="1:7" s="257" customFormat="1" ht="21.15" customHeight="1" outlineLevel="7">
      <c r="A568" s="164" t="s">
        <v>470</v>
      </c>
      <c r="B568" s="163" t="s">
        <v>540</v>
      </c>
      <c r="C568" s="163" t="s">
        <v>72</v>
      </c>
      <c r="D568" s="163" t="s">
        <v>665</v>
      </c>
      <c r="E568" s="169" t="s">
        <v>6</v>
      </c>
      <c r="F568" s="184">
        <f t="shared" si="168"/>
        <v>2576010.31</v>
      </c>
      <c r="G568" s="184">
        <f t="shared" si="168"/>
        <v>2576010.31</v>
      </c>
    </row>
    <row r="569" spans="1:7" s="257" customFormat="1" ht="25.5" customHeight="1" outlineLevel="7">
      <c r="A569" s="164" t="s">
        <v>37</v>
      </c>
      <c r="B569" s="163" t="s">
        <v>540</v>
      </c>
      <c r="C569" s="163" t="s">
        <v>72</v>
      </c>
      <c r="D569" s="163" t="s">
        <v>665</v>
      </c>
      <c r="E569" s="169" t="s">
        <v>38</v>
      </c>
      <c r="F569" s="184">
        <f t="shared" si="168"/>
        <v>2576010.31</v>
      </c>
      <c r="G569" s="184">
        <f t="shared" si="168"/>
        <v>2576010.31</v>
      </c>
    </row>
    <row r="570" spans="1:7" s="257" customFormat="1" ht="21.75" customHeight="1" outlineLevel="7">
      <c r="A570" s="164" t="s">
        <v>74</v>
      </c>
      <c r="B570" s="163" t="s">
        <v>540</v>
      </c>
      <c r="C570" s="163" t="s">
        <v>72</v>
      </c>
      <c r="D570" s="163" t="s">
        <v>665</v>
      </c>
      <c r="E570" s="169" t="s">
        <v>75</v>
      </c>
      <c r="F570" s="184">
        <f>2498730+77280.31</f>
        <v>2576010.31</v>
      </c>
      <c r="G570" s="184">
        <v>2576010.31</v>
      </c>
    </row>
    <row r="571" spans="1:7" s="257" customFormat="1" outlineLevel="5">
      <c r="A571" s="164" t="s">
        <v>257</v>
      </c>
      <c r="B571" s="163" t="s">
        <v>540</v>
      </c>
      <c r="C571" s="163" t="s">
        <v>256</v>
      </c>
      <c r="D571" s="163" t="s">
        <v>126</v>
      </c>
      <c r="E571" s="169" t="s">
        <v>6</v>
      </c>
      <c r="F571" s="218">
        <f t="shared" ref="F571:G572" si="169">F572</f>
        <v>28310464</v>
      </c>
      <c r="G571" s="218">
        <f t="shared" si="169"/>
        <v>28310467</v>
      </c>
    </row>
    <row r="572" spans="1:7" s="257" customFormat="1" ht="54" outlineLevel="6">
      <c r="A572" s="196" t="s">
        <v>853</v>
      </c>
      <c r="B572" s="197" t="s">
        <v>540</v>
      </c>
      <c r="C572" s="197" t="s">
        <v>256</v>
      </c>
      <c r="D572" s="197" t="s">
        <v>138</v>
      </c>
      <c r="E572" s="198" t="s">
        <v>6</v>
      </c>
      <c r="F572" s="220">
        <f t="shared" si="169"/>
        <v>28310464</v>
      </c>
      <c r="G572" s="220">
        <f t="shared" si="169"/>
        <v>28310467</v>
      </c>
    </row>
    <row r="573" spans="1:7" s="257" customFormat="1" ht="57.15" customHeight="1" outlineLevel="7">
      <c r="A573" s="164" t="s">
        <v>860</v>
      </c>
      <c r="B573" s="163" t="s">
        <v>540</v>
      </c>
      <c r="C573" s="163" t="s">
        <v>256</v>
      </c>
      <c r="D573" s="163" t="s">
        <v>149</v>
      </c>
      <c r="E573" s="169" t="s">
        <v>6</v>
      </c>
      <c r="F573" s="167">
        <f>F574+F578+F588</f>
        <v>28310464</v>
      </c>
      <c r="G573" s="167">
        <f>G574+G578+G588</f>
        <v>28310467</v>
      </c>
    </row>
    <row r="574" spans="1:7" s="257" customFormat="1" ht="23.25" customHeight="1" outlineLevel="7">
      <c r="A574" s="203" t="s">
        <v>207</v>
      </c>
      <c r="B574" s="163" t="s">
        <v>540</v>
      </c>
      <c r="C574" s="163" t="s">
        <v>256</v>
      </c>
      <c r="D574" s="163" t="s">
        <v>224</v>
      </c>
      <c r="E574" s="169" t="s">
        <v>6</v>
      </c>
      <c r="F574" s="167">
        <f>F575</f>
        <v>26996964</v>
      </c>
      <c r="G574" s="167">
        <f>G575</f>
        <v>26996967</v>
      </c>
    </row>
    <row r="575" spans="1:7" s="257" customFormat="1" ht="22.65" customHeight="1" outlineLevel="7">
      <c r="A575" s="164" t="s">
        <v>115</v>
      </c>
      <c r="B575" s="163" t="s">
        <v>540</v>
      </c>
      <c r="C575" s="163" t="s">
        <v>256</v>
      </c>
      <c r="D575" s="163" t="s">
        <v>151</v>
      </c>
      <c r="E575" s="169" t="s">
        <v>6</v>
      </c>
      <c r="F575" s="167">
        <f t="shared" ref="F575:G576" si="170">F576</f>
        <v>26996964</v>
      </c>
      <c r="G575" s="167">
        <f t="shared" si="170"/>
        <v>26996967</v>
      </c>
    </row>
    <row r="576" spans="1:7" s="257" customFormat="1" ht="24.75" customHeight="1" outlineLevel="7">
      <c r="A576" s="164" t="s">
        <v>37</v>
      </c>
      <c r="B576" s="163" t="s">
        <v>540</v>
      </c>
      <c r="C576" s="163" t="s">
        <v>256</v>
      </c>
      <c r="D576" s="163" t="s">
        <v>151</v>
      </c>
      <c r="E576" s="169" t="s">
        <v>38</v>
      </c>
      <c r="F576" s="167">
        <f t="shared" si="170"/>
        <v>26996964</v>
      </c>
      <c r="G576" s="167">
        <f t="shared" si="170"/>
        <v>26996967</v>
      </c>
    </row>
    <row r="577" spans="1:8" s="257" customFormat="1" ht="27" customHeight="1" outlineLevel="7">
      <c r="A577" s="164" t="s">
        <v>74</v>
      </c>
      <c r="B577" s="163" t="s">
        <v>540</v>
      </c>
      <c r="C577" s="163" t="s">
        <v>256</v>
      </c>
      <c r="D577" s="163" t="s">
        <v>151</v>
      </c>
      <c r="E577" s="169" t="s">
        <v>75</v>
      </c>
      <c r="F577" s="184">
        <v>26996964</v>
      </c>
      <c r="G577" s="184">
        <v>26996967</v>
      </c>
    </row>
    <row r="578" spans="1:8" ht="42.75" customHeight="1" outlineLevel="7">
      <c r="A578" s="200" t="s">
        <v>402</v>
      </c>
      <c r="B578" s="163" t="s">
        <v>540</v>
      </c>
      <c r="C578" s="163" t="s">
        <v>256</v>
      </c>
      <c r="D578" s="163" t="s">
        <v>225</v>
      </c>
      <c r="E578" s="169" t="s">
        <v>6</v>
      </c>
      <c r="F578" s="184">
        <f>F579+F585</f>
        <v>110500</v>
      </c>
      <c r="G578" s="184">
        <f>G579+G585</f>
        <v>110500</v>
      </c>
    </row>
    <row r="579" spans="1:8" ht="36" outlineLevel="7">
      <c r="A579" s="164" t="s">
        <v>268</v>
      </c>
      <c r="B579" s="163" t="s">
        <v>540</v>
      </c>
      <c r="C579" s="163" t="s">
        <v>256</v>
      </c>
      <c r="D579" s="163" t="s">
        <v>288</v>
      </c>
      <c r="E579" s="169" t="s">
        <v>6</v>
      </c>
      <c r="F579" s="218">
        <f t="shared" ref="F579:G580" si="171">F580</f>
        <v>25000</v>
      </c>
      <c r="G579" s="218">
        <f t="shared" si="171"/>
        <v>25000</v>
      </c>
    </row>
    <row r="580" spans="1:8" ht="36" outlineLevel="7">
      <c r="A580" s="164" t="s">
        <v>37</v>
      </c>
      <c r="B580" s="163" t="s">
        <v>540</v>
      </c>
      <c r="C580" s="163" t="s">
        <v>256</v>
      </c>
      <c r="D580" s="163" t="s">
        <v>288</v>
      </c>
      <c r="E580" s="169" t="s">
        <v>38</v>
      </c>
      <c r="F580" s="218">
        <f t="shared" si="171"/>
        <v>25000</v>
      </c>
      <c r="G580" s="218">
        <f t="shared" si="171"/>
        <v>25000</v>
      </c>
    </row>
    <row r="581" spans="1:8" ht="18" customHeight="1" outlineLevel="2">
      <c r="A581" s="164" t="s">
        <v>74</v>
      </c>
      <c r="B581" s="163" t="s">
        <v>540</v>
      </c>
      <c r="C581" s="163" t="s">
        <v>256</v>
      </c>
      <c r="D581" s="163" t="s">
        <v>288</v>
      </c>
      <c r="E581" s="169" t="s">
        <v>75</v>
      </c>
      <c r="F581" s="184">
        <v>25000</v>
      </c>
      <c r="G581" s="184">
        <v>25000</v>
      </c>
    </row>
    <row r="582" spans="1:8" s="266" customFormat="1" hidden="1" outlineLevel="3">
      <c r="A582" s="221" t="s">
        <v>311</v>
      </c>
      <c r="B582" s="163" t="s">
        <v>540</v>
      </c>
      <c r="C582" s="163" t="s">
        <v>256</v>
      </c>
      <c r="D582" s="163" t="s">
        <v>749</v>
      </c>
      <c r="E582" s="163" t="s">
        <v>6</v>
      </c>
      <c r="F582" s="184">
        <f t="shared" ref="F582:G583" si="172">F583</f>
        <v>0</v>
      </c>
      <c r="G582" s="184">
        <f t="shared" si="172"/>
        <v>0</v>
      </c>
      <c r="H582" s="265"/>
    </row>
    <row r="583" spans="1:8" ht="36" hidden="1" outlineLevel="3">
      <c r="A583" s="164" t="s">
        <v>37</v>
      </c>
      <c r="B583" s="163" t="s">
        <v>540</v>
      </c>
      <c r="C583" s="163" t="s">
        <v>256</v>
      </c>
      <c r="D583" s="163" t="s">
        <v>749</v>
      </c>
      <c r="E583" s="163" t="s">
        <v>38</v>
      </c>
      <c r="F583" s="184">
        <f t="shared" si="172"/>
        <v>0</v>
      </c>
      <c r="G583" s="184">
        <f t="shared" si="172"/>
        <v>0</v>
      </c>
    </row>
    <row r="584" spans="1:8" ht="19.5" hidden="1" customHeight="1" outlineLevel="3">
      <c r="A584" s="164" t="s">
        <v>74</v>
      </c>
      <c r="B584" s="163" t="s">
        <v>540</v>
      </c>
      <c r="C584" s="163" t="s">
        <v>256</v>
      </c>
      <c r="D584" s="163" t="s">
        <v>749</v>
      </c>
      <c r="E584" s="163" t="s">
        <v>75</v>
      </c>
      <c r="F584" s="184">
        <v>0</v>
      </c>
      <c r="G584" s="184">
        <v>0</v>
      </c>
    </row>
    <row r="585" spans="1:8" outlineLevel="3">
      <c r="A585" s="164" t="s">
        <v>112</v>
      </c>
      <c r="B585" s="163" t="s">
        <v>540</v>
      </c>
      <c r="C585" s="163" t="s">
        <v>256</v>
      </c>
      <c r="D585" s="163" t="s">
        <v>150</v>
      </c>
      <c r="E585" s="169" t="s">
        <v>6</v>
      </c>
      <c r="F585" s="167">
        <f t="shared" ref="F585:G586" si="173">F586</f>
        <v>85500</v>
      </c>
      <c r="G585" s="167">
        <f t="shared" si="173"/>
        <v>85500</v>
      </c>
    </row>
    <row r="586" spans="1:8" ht="36" outlineLevel="3">
      <c r="A586" s="164" t="s">
        <v>37</v>
      </c>
      <c r="B586" s="163" t="s">
        <v>540</v>
      </c>
      <c r="C586" s="163" t="s">
        <v>256</v>
      </c>
      <c r="D586" s="163" t="s">
        <v>150</v>
      </c>
      <c r="E586" s="169" t="s">
        <v>38</v>
      </c>
      <c r="F586" s="167">
        <f t="shared" si="173"/>
        <v>85500</v>
      </c>
      <c r="G586" s="167">
        <f t="shared" si="173"/>
        <v>85500</v>
      </c>
    </row>
    <row r="587" spans="1:8" ht="21.15" customHeight="1" outlineLevel="3">
      <c r="A587" s="164" t="s">
        <v>74</v>
      </c>
      <c r="B587" s="163" t="s">
        <v>540</v>
      </c>
      <c r="C587" s="163" t="s">
        <v>256</v>
      </c>
      <c r="D587" s="163" t="s">
        <v>150</v>
      </c>
      <c r="E587" s="169" t="s">
        <v>75</v>
      </c>
      <c r="F587" s="184">
        <v>85500</v>
      </c>
      <c r="G587" s="184">
        <v>85500</v>
      </c>
    </row>
    <row r="588" spans="1:8" ht="54" outlineLevel="3">
      <c r="A588" s="164" t="s">
        <v>768</v>
      </c>
      <c r="B588" s="163" t="s">
        <v>540</v>
      </c>
      <c r="C588" s="163" t="s">
        <v>256</v>
      </c>
      <c r="D588" s="163" t="s">
        <v>769</v>
      </c>
      <c r="E588" s="163" t="s">
        <v>6</v>
      </c>
      <c r="F588" s="184">
        <f t="shared" ref="F588:G589" si="174">F589</f>
        <v>1203000</v>
      </c>
      <c r="G588" s="184">
        <f t="shared" si="174"/>
        <v>1203000</v>
      </c>
    </row>
    <row r="589" spans="1:8" ht="36" outlineLevel="3">
      <c r="A589" s="164" t="s">
        <v>37</v>
      </c>
      <c r="B589" s="163" t="s">
        <v>540</v>
      </c>
      <c r="C589" s="163" t="s">
        <v>256</v>
      </c>
      <c r="D589" s="163" t="s">
        <v>770</v>
      </c>
      <c r="E589" s="163" t="s">
        <v>38</v>
      </c>
      <c r="F589" s="184">
        <f t="shared" si="174"/>
        <v>1203000</v>
      </c>
      <c r="G589" s="184">
        <f t="shared" si="174"/>
        <v>1203000</v>
      </c>
    </row>
    <row r="590" spans="1:8" outlineLevel="3">
      <c r="A590" s="164" t="s">
        <v>74</v>
      </c>
      <c r="B590" s="163" t="s">
        <v>540</v>
      </c>
      <c r="C590" s="163" t="s">
        <v>256</v>
      </c>
      <c r="D590" s="163" t="s">
        <v>770</v>
      </c>
      <c r="E590" s="163" t="s">
        <v>75</v>
      </c>
      <c r="F590" s="184">
        <v>1203000</v>
      </c>
      <c r="G590" s="184">
        <v>1203000</v>
      </c>
    </row>
    <row r="591" spans="1:8" ht="54" outlineLevel="3">
      <c r="A591" s="200" t="s">
        <v>459</v>
      </c>
      <c r="B591" s="163" t="s">
        <v>540</v>
      </c>
      <c r="C591" s="163" t="s">
        <v>256</v>
      </c>
      <c r="D591" s="163" t="s">
        <v>741</v>
      </c>
      <c r="E591" s="163" t="s">
        <v>6</v>
      </c>
      <c r="F591" s="184">
        <f t="shared" ref="F591:G592" si="175">F592</f>
        <v>100000</v>
      </c>
      <c r="G591" s="184">
        <f t="shared" si="175"/>
        <v>100000</v>
      </c>
    </row>
    <row r="592" spans="1:8" ht="36" outlineLevel="3">
      <c r="A592" s="164" t="s">
        <v>37</v>
      </c>
      <c r="B592" s="163" t="s">
        <v>540</v>
      </c>
      <c r="C592" s="163" t="s">
        <v>256</v>
      </c>
      <c r="D592" s="163" t="s">
        <v>741</v>
      </c>
      <c r="E592" s="163" t="s">
        <v>38</v>
      </c>
      <c r="F592" s="184">
        <f t="shared" si="175"/>
        <v>100000</v>
      </c>
      <c r="G592" s="184">
        <f t="shared" si="175"/>
        <v>100000</v>
      </c>
    </row>
    <row r="593" spans="1:8" outlineLevel="3">
      <c r="A593" s="164" t="s">
        <v>74</v>
      </c>
      <c r="B593" s="163" t="s">
        <v>540</v>
      </c>
      <c r="C593" s="163" t="s">
        <v>256</v>
      </c>
      <c r="D593" s="163" t="s">
        <v>741</v>
      </c>
      <c r="E593" s="163" t="s">
        <v>75</v>
      </c>
      <c r="F593" s="184">
        <v>100000</v>
      </c>
      <c r="G593" s="184">
        <v>100000</v>
      </c>
    </row>
    <row r="594" spans="1:8" outlineLevel="3">
      <c r="A594" s="164" t="s">
        <v>76</v>
      </c>
      <c r="B594" s="163" t="s">
        <v>540</v>
      </c>
      <c r="C594" s="163" t="s">
        <v>77</v>
      </c>
      <c r="D594" s="163" t="s">
        <v>126</v>
      </c>
      <c r="E594" s="169" t="s">
        <v>6</v>
      </c>
      <c r="F594" s="167">
        <f>F595</f>
        <v>2042300</v>
      </c>
      <c r="G594" s="167">
        <f>G595</f>
        <v>2042300</v>
      </c>
    </row>
    <row r="595" spans="1:8" ht="54" outlineLevel="3">
      <c r="A595" s="196" t="s">
        <v>853</v>
      </c>
      <c r="B595" s="197" t="s">
        <v>540</v>
      </c>
      <c r="C595" s="197" t="s">
        <v>77</v>
      </c>
      <c r="D595" s="197" t="s">
        <v>138</v>
      </c>
      <c r="E595" s="198" t="s">
        <v>6</v>
      </c>
      <c r="F595" s="171">
        <f>F596+F610</f>
        <v>2042300</v>
      </c>
      <c r="G595" s="171">
        <f>G596+G610</f>
        <v>2042300</v>
      </c>
    </row>
    <row r="596" spans="1:8" ht="54" outlineLevel="3">
      <c r="A596" s="164" t="s">
        <v>861</v>
      </c>
      <c r="B596" s="163" t="s">
        <v>540</v>
      </c>
      <c r="C596" s="163" t="s">
        <v>77</v>
      </c>
      <c r="D596" s="163" t="s">
        <v>146</v>
      </c>
      <c r="E596" s="169" t="s">
        <v>6</v>
      </c>
      <c r="F596" s="167">
        <f>F597+F601</f>
        <v>1917300</v>
      </c>
      <c r="G596" s="167">
        <f>G597+G601</f>
        <v>1917300</v>
      </c>
    </row>
    <row r="597" spans="1:8" ht="36" outlineLevel="7">
      <c r="A597" s="200" t="s">
        <v>206</v>
      </c>
      <c r="B597" s="163" t="s">
        <v>540</v>
      </c>
      <c r="C597" s="163" t="s">
        <v>77</v>
      </c>
      <c r="D597" s="163" t="s">
        <v>220</v>
      </c>
      <c r="E597" s="169" t="s">
        <v>6</v>
      </c>
      <c r="F597" s="167">
        <f t="shared" ref="F597:G599" si="176">F598</f>
        <v>70000</v>
      </c>
      <c r="G597" s="167">
        <f t="shared" si="176"/>
        <v>70000</v>
      </c>
    </row>
    <row r="598" spans="1:8" outlineLevel="7">
      <c r="A598" s="164" t="s">
        <v>424</v>
      </c>
      <c r="B598" s="163" t="s">
        <v>540</v>
      </c>
      <c r="C598" s="163" t="s">
        <v>77</v>
      </c>
      <c r="D598" s="163" t="s">
        <v>235</v>
      </c>
      <c r="E598" s="169" t="s">
        <v>6</v>
      </c>
      <c r="F598" s="167">
        <f t="shared" si="176"/>
        <v>70000</v>
      </c>
      <c r="G598" s="167">
        <f t="shared" si="176"/>
        <v>70000</v>
      </c>
    </row>
    <row r="599" spans="1:8" ht="23.25" customHeight="1" outlineLevel="7">
      <c r="A599" s="164" t="s">
        <v>15</v>
      </c>
      <c r="B599" s="163" t="s">
        <v>540</v>
      </c>
      <c r="C599" s="163" t="s">
        <v>77</v>
      </c>
      <c r="D599" s="163" t="s">
        <v>235</v>
      </c>
      <c r="E599" s="169" t="s">
        <v>16</v>
      </c>
      <c r="F599" s="167">
        <f t="shared" si="176"/>
        <v>70000</v>
      </c>
      <c r="G599" s="167">
        <f t="shared" si="176"/>
        <v>70000</v>
      </c>
    </row>
    <row r="600" spans="1:8" ht="36" outlineLevel="2">
      <c r="A600" s="164" t="s">
        <v>17</v>
      </c>
      <c r="B600" s="163" t="s">
        <v>540</v>
      </c>
      <c r="C600" s="163" t="s">
        <v>77</v>
      </c>
      <c r="D600" s="163" t="s">
        <v>235</v>
      </c>
      <c r="E600" s="169" t="s">
        <v>18</v>
      </c>
      <c r="F600" s="184">
        <v>70000</v>
      </c>
      <c r="G600" s="184">
        <v>70000</v>
      </c>
    </row>
    <row r="601" spans="1:8" s="266" customFormat="1" ht="36" outlineLevel="3">
      <c r="A601" s="200" t="s">
        <v>275</v>
      </c>
      <c r="B601" s="163" t="s">
        <v>540</v>
      </c>
      <c r="C601" s="163" t="s">
        <v>77</v>
      </c>
      <c r="D601" s="163" t="s">
        <v>223</v>
      </c>
      <c r="E601" s="163" t="s">
        <v>6</v>
      </c>
      <c r="F601" s="184">
        <f>F602</f>
        <v>1847300</v>
      </c>
      <c r="G601" s="184">
        <f>G602</f>
        <v>1847300</v>
      </c>
      <c r="H601" s="265"/>
    </row>
    <row r="602" spans="1:8" s="266" customFormat="1" ht="90" outlineLevel="3">
      <c r="A602" s="187" t="s">
        <v>403</v>
      </c>
      <c r="B602" s="163" t="s">
        <v>540</v>
      </c>
      <c r="C602" s="163" t="s">
        <v>77</v>
      </c>
      <c r="D602" s="163" t="s">
        <v>152</v>
      </c>
      <c r="E602" s="163" t="s">
        <v>6</v>
      </c>
      <c r="F602" s="167">
        <f t="shared" ref="F602:G602" si="177">F603+F607+F605</f>
        <v>1847300</v>
      </c>
      <c r="G602" s="167">
        <f t="shared" si="177"/>
        <v>1847300</v>
      </c>
      <c r="H602" s="265"/>
    </row>
    <row r="603" spans="1:8" ht="36" outlineLevel="5">
      <c r="A603" s="164" t="s">
        <v>15</v>
      </c>
      <c r="B603" s="163" t="s">
        <v>540</v>
      </c>
      <c r="C603" s="163" t="s">
        <v>77</v>
      </c>
      <c r="D603" s="163" t="s">
        <v>152</v>
      </c>
      <c r="E603" s="163" t="s">
        <v>16</v>
      </c>
      <c r="F603" s="167">
        <f t="shared" ref="F603:G603" si="178">F604</f>
        <v>2000</v>
      </c>
      <c r="G603" s="167">
        <f t="shared" si="178"/>
        <v>2000</v>
      </c>
    </row>
    <row r="604" spans="1:8" ht="36" outlineLevel="6">
      <c r="A604" s="164" t="s">
        <v>17</v>
      </c>
      <c r="B604" s="163" t="s">
        <v>540</v>
      </c>
      <c r="C604" s="163" t="s">
        <v>77</v>
      </c>
      <c r="D604" s="163" t="s">
        <v>152</v>
      </c>
      <c r="E604" s="163" t="s">
        <v>18</v>
      </c>
      <c r="F604" s="184">
        <v>2000</v>
      </c>
      <c r="G604" s="184">
        <v>2000</v>
      </c>
    </row>
    <row r="605" spans="1:8" outlineLevel="7">
      <c r="A605" s="164" t="s">
        <v>90</v>
      </c>
      <c r="B605" s="163" t="s">
        <v>540</v>
      </c>
      <c r="C605" s="163" t="s">
        <v>77</v>
      </c>
      <c r="D605" s="163" t="s">
        <v>152</v>
      </c>
      <c r="E605" s="163" t="s">
        <v>91</v>
      </c>
      <c r="F605" s="167">
        <f t="shared" ref="F605:G605" si="179">F606</f>
        <v>320000</v>
      </c>
      <c r="G605" s="167">
        <f t="shared" si="179"/>
        <v>320000</v>
      </c>
    </row>
    <row r="606" spans="1:8" ht="36" outlineLevel="6">
      <c r="A606" s="164" t="s">
        <v>97</v>
      </c>
      <c r="B606" s="163" t="s">
        <v>540</v>
      </c>
      <c r="C606" s="163" t="s">
        <v>77</v>
      </c>
      <c r="D606" s="163" t="s">
        <v>152</v>
      </c>
      <c r="E606" s="163" t="s">
        <v>98</v>
      </c>
      <c r="F606" s="184">
        <v>320000</v>
      </c>
      <c r="G606" s="184">
        <v>320000</v>
      </c>
    </row>
    <row r="607" spans="1:8" ht="21.15" customHeight="1" outlineLevel="7">
      <c r="A607" s="164" t="s">
        <v>37</v>
      </c>
      <c r="B607" s="163" t="s">
        <v>540</v>
      </c>
      <c r="C607" s="163" t="s">
        <v>77</v>
      </c>
      <c r="D607" s="163" t="s">
        <v>152</v>
      </c>
      <c r="E607" s="163" t="s">
        <v>38</v>
      </c>
      <c r="F607" s="167">
        <f t="shared" ref="F607:G607" si="180">F608</f>
        <v>1525300</v>
      </c>
      <c r="G607" s="167">
        <f t="shared" si="180"/>
        <v>1525300</v>
      </c>
    </row>
    <row r="608" spans="1:8" outlineLevel="7">
      <c r="A608" s="164" t="s">
        <v>74</v>
      </c>
      <c r="B608" s="163" t="s">
        <v>540</v>
      </c>
      <c r="C608" s="163" t="s">
        <v>77</v>
      </c>
      <c r="D608" s="163" t="s">
        <v>152</v>
      </c>
      <c r="E608" s="163" t="s">
        <v>75</v>
      </c>
      <c r="F608" s="184">
        <v>1525300</v>
      </c>
      <c r="G608" s="184">
        <v>1525300</v>
      </c>
    </row>
    <row r="609" spans="1:8" ht="36" outlineLevel="7">
      <c r="A609" s="33" t="s">
        <v>238</v>
      </c>
      <c r="B609" s="163" t="s">
        <v>540</v>
      </c>
      <c r="C609" s="163" t="s">
        <v>77</v>
      </c>
      <c r="D609" s="163" t="s">
        <v>237</v>
      </c>
      <c r="E609" s="169" t="s">
        <v>6</v>
      </c>
      <c r="F609" s="184">
        <f>F610</f>
        <v>125000</v>
      </c>
      <c r="G609" s="184">
        <f>G610</f>
        <v>125000</v>
      </c>
    </row>
    <row r="610" spans="1:8" outlineLevel="5">
      <c r="A610" s="164" t="s">
        <v>78</v>
      </c>
      <c r="B610" s="163" t="s">
        <v>540</v>
      </c>
      <c r="C610" s="163" t="s">
        <v>77</v>
      </c>
      <c r="D610" s="163" t="s">
        <v>153</v>
      </c>
      <c r="E610" s="169" t="s">
        <v>6</v>
      </c>
      <c r="F610" s="167">
        <f t="shared" ref="F610:G611" si="181">F611</f>
        <v>125000</v>
      </c>
      <c r="G610" s="167">
        <f t="shared" si="181"/>
        <v>125000</v>
      </c>
    </row>
    <row r="611" spans="1:8" ht="36" outlineLevel="6">
      <c r="A611" s="164" t="s">
        <v>15</v>
      </c>
      <c r="B611" s="163" t="s">
        <v>540</v>
      </c>
      <c r="C611" s="163" t="s">
        <v>77</v>
      </c>
      <c r="D611" s="163" t="s">
        <v>153</v>
      </c>
      <c r="E611" s="169" t="s">
        <v>16</v>
      </c>
      <c r="F611" s="167">
        <f t="shared" si="181"/>
        <v>125000</v>
      </c>
      <c r="G611" s="167">
        <f t="shared" si="181"/>
        <v>125000</v>
      </c>
    </row>
    <row r="612" spans="1:8" ht="36" outlineLevel="7">
      <c r="A612" s="164" t="s">
        <v>17</v>
      </c>
      <c r="B612" s="163" t="s">
        <v>540</v>
      </c>
      <c r="C612" s="163" t="s">
        <v>77</v>
      </c>
      <c r="D612" s="163" t="s">
        <v>153</v>
      </c>
      <c r="E612" s="169" t="s">
        <v>18</v>
      </c>
      <c r="F612" s="184">
        <v>125000</v>
      </c>
      <c r="G612" s="184">
        <v>125000</v>
      </c>
    </row>
    <row r="613" spans="1:8" outlineLevel="6">
      <c r="A613" s="164" t="s">
        <v>116</v>
      </c>
      <c r="B613" s="163" t="s">
        <v>540</v>
      </c>
      <c r="C613" s="163" t="s">
        <v>117</v>
      </c>
      <c r="D613" s="163" t="s">
        <v>126</v>
      </c>
      <c r="E613" s="169" t="s">
        <v>6</v>
      </c>
      <c r="F613" s="167">
        <f>F614</f>
        <v>21748475</v>
      </c>
      <c r="G613" s="167">
        <f t="shared" ref="G613:G614" si="182">G614</f>
        <v>21748475</v>
      </c>
    </row>
    <row r="614" spans="1:8" ht="51.75" customHeight="1" outlineLevel="7">
      <c r="A614" s="196" t="s">
        <v>855</v>
      </c>
      <c r="B614" s="197" t="s">
        <v>540</v>
      </c>
      <c r="C614" s="197" t="s">
        <v>117</v>
      </c>
      <c r="D614" s="197" t="s">
        <v>138</v>
      </c>
      <c r="E614" s="198" t="s">
        <v>6</v>
      </c>
      <c r="F614" s="223">
        <f>F615</f>
        <v>21748475</v>
      </c>
      <c r="G614" s="223">
        <f t="shared" si="182"/>
        <v>21748475</v>
      </c>
    </row>
    <row r="615" spans="1:8" ht="36" outlineLevel="6">
      <c r="A615" s="200" t="s">
        <v>209</v>
      </c>
      <c r="B615" s="163" t="s">
        <v>540</v>
      </c>
      <c r="C615" s="163" t="s">
        <v>117</v>
      </c>
      <c r="D615" s="163" t="s">
        <v>226</v>
      </c>
      <c r="E615" s="169" t="s">
        <v>6</v>
      </c>
      <c r="F615" s="171">
        <f>F616+F623+F630</f>
        <v>21748475</v>
      </c>
      <c r="G615" s="171">
        <f>G616+G623+G630</f>
        <v>21748475</v>
      </c>
    </row>
    <row r="616" spans="1:8" ht="54" outlineLevel="7">
      <c r="A616" s="164" t="s">
        <v>498</v>
      </c>
      <c r="B616" s="163" t="s">
        <v>540</v>
      </c>
      <c r="C616" s="163" t="s">
        <v>117</v>
      </c>
      <c r="D616" s="163" t="s">
        <v>539</v>
      </c>
      <c r="E616" s="169" t="s">
        <v>6</v>
      </c>
      <c r="F616" s="167">
        <f>F617+F619+F621</f>
        <v>5189242</v>
      </c>
      <c r="G616" s="167">
        <f t="shared" ref="G616" si="183">G617+G619+G621</f>
        <v>5189242</v>
      </c>
    </row>
    <row r="617" spans="1:8" ht="90" outlineLevel="3">
      <c r="A617" s="164" t="s">
        <v>11</v>
      </c>
      <c r="B617" s="163" t="s">
        <v>540</v>
      </c>
      <c r="C617" s="163" t="s">
        <v>117</v>
      </c>
      <c r="D617" s="163" t="s">
        <v>539</v>
      </c>
      <c r="E617" s="169" t="s">
        <v>12</v>
      </c>
      <c r="F617" s="167">
        <f t="shared" ref="F617:G617" si="184">F618</f>
        <v>5089242</v>
      </c>
      <c r="G617" s="167">
        <f t="shared" si="184"/>
        <v>5089242</v>
      </c>
    </row>
    <row r="618" spans="1:8" ht="36" outlineLevel="3">
      <c r="A618" s="164" t="s">
        <v>13</v>
      </c>
      <c r="B618" s="163" t="s">
        <v>540</v>
      </c>
      <c r="C618" s="163" t="s">
        <v>117</v>
      </c>
      <c r="D618" s="163" t="s">
        <v>539</v>
      </c>
      <c r="E618" s="169" t="s">
        <v>14</v>
      </c>
      <c r="F618" s="184">
        <f>потребность!I621</f>
        <v>5089242</v>
      </c>
      <c r="G618" s="184">
        <v>5089242</v>
      </c>
    </row>
    <row r="619" spans="1:8" ht="36" outlineLevel="3">
      <c r="A619" s="164" t="s">
        <v>15</v>
      </c>
      <c r="B619" s="163" t="s">
        <v>540</v>
      </c>
      <c r="C619" s="163" t="s">
        <v>117</v>
      </c>
      <c r="D619" s="163" t="s">
        <v>539</v>
      </c>
      <c r="E619" s="169" t="s">
        <v>16</v>
      </c>
      <c r="F619" s="167">
        <f t="shared" ref="F619:G619" si="185">F620</f>
        <v>100000</v>
      </c>
      <c r="G619" s="167">
        <f t="shared" si="185"/>
        <v>100000</v>
      </c>
    </row>
    <row r="620" spans="1:8" s="266" customFormat="1" ht="52.5" customHeight="1" outlineLevel="3">
      <c r="A620" s="164" t="s">
        <v>17</v>
      </c>
      <c r="B620" s="163" t="s">
        <v>540</v>
      </c>
      <c r="C620" s="163" t="s">
        <v>117</v>
      </c>
      <c r="D620" s="163" t="s">
        <v>539</v>
      </c>
      <c r="E620" s="169" t="s">
        <v>18</v>
      </c>
      <c r="F620" s="184">
        <f>потребность!I623</f>
        <v>100000</v>
      </c>
      <c r="G620" s="184">
        <v>100000</v>
      </c>
      <c r="H620" s="265"/>
    </row>
    <row r="621" spans="1:8" hidden="1" outlineLevel="3">
      <c r="A621" s="164" t="s">
        <v>19</v>
      </c>
      <c r="B621" s="163" t="s">
        <v>540</v>
      </c>
      <c r="C621" s="163" t="s">
        <v>117</v>
      </c>
      <c r="D621" s="163" t="s">
        <v>539</v>
      </c>
      <c r="E621" s="169" t="s">
        <v>20</v>
      </c>
      <c r="F621" s="218">
        <f>F622</f>
        <v>0</v>
      </c>
      <c r="G621" s="218">
        <f>G622</f>
        <v>0</v>
      </c>
    </row>
    <row r="622" spans="1:8" s="266" customFormat="1" hidden="1" outlineLevel="3">
      <c r="A622" s="164" t="s">
        <v>21</v>
      </c>
      <c r="B622" s="163" t="s">
        <v>540</v>
      </c>
      <c r="C622" s="163" t="s">
        <v>117</v>
      </c>
      <c r="D622" s="163" t="s">
        <v>539</v>
      </c>
      <c r="E622" s="169" t="s">
        <v>22</v>
      </c>
      <c r="F622" s="184">
        <v>0</v>
      </c>
      <c r="G622" s="184">
        <v>0</v>
      </c>
      <c r="H622" s="265"/>
    </row>
    <row r="623" spans="1:8" ht="36" outlineLevel="3">
      <c r="A623" s="164" t="s">
        <v>33</v>
      </c>
      <c r="B623" s="163" t="s">
        <v>540</v>
      </c>
      <c r="C623" s="163" t="s">
        <v>117</v>
      </c>
      <c r="D623" s="163" t="s">
        <v>154</v>
      </c>
      <c r="E623" s="169" t="s">
        <v>6</v>
      </c>
      <c r="F623" s="167">
        <f>F624+F626+F628</f>
        <v>14477700</v>
      </c>
      <c r="G623" s="167">
        <f>G624+G626+G628</f>
        <v>14477700</v>
      </c>
    </row>
    <row r="624" spans="1:8" ht="90" outlineLevel="3">
      <c r="A624" s="164" t="s">
        <v>11</v>
      </c>
      <c r="B624" s="163" t="s">
        <v>540</v>
      </c>
      <c r="C624" s="163" t="s">
        <v>117</v>
      </c>
      <c r="D624" s="163" t="s">
        <v>154</v>
      </c>
      <c r="E624" s="169" t="s">
        <v>12</v>
      </c>
      <c r="F624" s="167">
        <f t="shared" ref="F624:G624" si="186">F625</f>
        <v>11638500</v>
      </c>
      <c r="G624" s="167">
        <f t="shared" si="186"/>
        <v>11638500</v>
      </c>
    </row>
    <row r="625" spans="1:8" outlineLevel="3">
      <c r="A625" s="164" t="s">
        <v>34</v>
      </c>
      <c r="B625" s="163" t="s">
        <v>540</v>
      </c>
      <c r="C625" s="163" t="s">
        <v>117</v>
      </c>
      <c r="D625" s="163" t="s">
        <v>154</v>
      </c>
      <c r="E625" s="169" t="s">
        <v>35</v>
      </c>
      <c r="F625" s="184">
        <v>11638500</v>
      </c>
      <c r="G625" s="184">
        <v>11638500</v>
      </c>
    </row>
    <row r="626" spans="1:8" ht="36" outlineLevel="3">
      <c r="A626" s="164" t="s">
        <v>15</v>
      </c>
      <c r="B626" s="163" t="s">
        <v>540</v>
      </c>
      <c r="C626" s="163" t="s">
        <v>117</v>
      </c>
      <c r="D626" s="163" t="s">
        <v>154</v>
      </c>
      <c r="E626" s="169" t="s">
        <v>16</v>
      </c>
      <c r="F626" s="167">
        <f t="shared" ref="F626:G626" si="187">F627</f>
        <v>2800000</v>
      </c>
      <c r="G626" s="167">
        <f t="shared" si="187"/>
        <v>2800000</v>
      </c>
    </row>
    <row r="627" spans="1:8" ht="36" outlineLevel="3">
      <c r="A627" s="164" t="s">
        <v>17</v>
      </c>
      <c r="B627" s="163" t="s">
        <v>540</v>
      </c>
      <c r="C627" s="163" t="s">
        <v>117</v>
      </c>
      <c r="D627" s="163" t="s">
        <v>154</v>
      </c>
      <c r="E627" s="169" t="s">
        <v>18</v>
      </c>
      <c r="F627" s="184">
        <v>2800000</v>
      </c>
      <c r="G627" s="184">
        <v>2800000</v>
      </c>
    </row>
    <row r="628" spans="1:8" s="266" customFormat="1" outlineLevel="3">
      <c r="A628" s="164" t="s">
        <v>19</v>
      </c>
      <c r="B628" s="163" t="s">
        <v>540</v>
      </c>
      <c r="C628" s="163" t="s">
        <v>117</v>
      </c>
      <c r="D628" s="163" t="s">
        <v>154</v>
      </c>
      <c r="E628" s="169" t="s">
        <v>20</v>
      </c>
      <c r="F628" s="167">
        <f t="shared" ref="F628:G628" si="188">F629</f>
        <v>39200</v>
      </c>
      <c r="G628" s="167">
        <f t="shared" si="188"/>
        <v>39200</v>
      </c>
      <c r="H628" s="265"/>
    </row>
    <row r="629" spans="1:8" outlineLevel="3">
      <c r="A629" s="164" t="s">
        <v>21</v>
      </c>
      <c r="B629" s="163" t="s">
        <v>540</v>
      </c>
      <c r="C629" s="163" t="s">
        <v>117</v>
      </c>
      <c r="D629" s="163" t="s">
        <v>154</v>
      </c>
      <c r="E629" s="169" t="s">
        <v>22</v>
      </c>
      <c r="F629" s="184">
        <v>39200</v>
      </c>
      <c r="G629" s="184">
        <v>39200</v>
      </c>
    </row>
    <row r="630" spans="1:8" ht="23.25" customHeight="1" outlineLevel="3">
      <c r="A630" s="33" t="s">
        <v>36</v>
      </c>
      <c r="B630" s="163" t="s">
        <v>540</v>
      </c>
      <c r="C630" s="163" t="s">
        <v>117</v>
      </c>
      <c r="D630" s="163" t="s">
        <v>155</v>
      </c>
      <c r="E630" s="169" t="s">
        <v>6</v>
      </c>
      <c r="F630" s="167">
        <f t="shared" ref="F630:G631" si="189">F631</f>
        <v>2081533</v>
      </c>
      <c r="G630" s="167">
        <f t="shared" si="189"/>
        <v>2081533</v>
      </c>
    </row>
    <row r="631" spans="1:8" ht="45.75" customHeight="1" outlineLevel="3">
      <c r="A631" s="164" t="s">
        <v>37</v>
      </c>
      <c r="B631" s="163" t="s">
        <v>540</v>
      </c>
      <c r="C631" s="163" t="s">
        <v>117</v>
      </c>
      <c r="D631" s="163" t="s">
        <v>155</v>
      </c>
      <c r="E631" s="169" t="s">
        <v>38</v>
      </c>
      <c r="F631" s="167">
        <f t="shared" si="189"/>
        <v>2081533</v>
      </c>
      <c r="G631" s="167">
        <f t="shared" si="189"/>
        <v>2081533</v>
      </c>
    </row>
    <row r="632" spans="1:8" ht="22.65" customHeight="1" outlineLevel="3">
      <c r="A632" s="164" t="s">
        <v>39</v>
      </c>
      <c r="B632" s="163" t="s">
        <v>540</v>
      </c>
      <c r="C632" s="163" t="s">
        <v>117</v>
      </c>
      <c r="D632" s="163" t="s">
        <v>155</v>
      </c>
      <c r="E632" s="169" t="s">
        <v>40</v>
      </c>
      <c r="F632" s="184">
        <v>2081533</v>
      </c>
      <c r="G632" s="184">
        <v>2081533</v>
      </c>
    </row>
    <row r="633" spans="1:8" ht="27.75" customHeight="1" outlineLevel="3">
      <c r="A633" s="196" t="s">
        <v>85</v>
      </c>
      <c r="B633" s="197" t="s">
        <v>540</v>
      </c>
      <c r="C633" s="197" t="s">
        <v>86</v>
      </c>
      <c r="D633" s="197" t="s">
        <v>126</v>
      </c>
      <c r="E633" s="198" t="s">
        <v>6</v>
      </c>
      <c r="F633" s="171">
        <f>F634+F640</f>
        <v>4489069</v>
      </c>
      <c r="G633" s="171">
        <f t="shared" ref="G633" si="190">G634+G640</f>
        <v>4489069</v>
      </c>
    </row>
    <row r="634" spans="1:8" outlineLevel="3">
      <c r="A634" s="164" t="s">
        <v>94</v>
      </c>
      <c r="B634" s="163" t="s">
        <v>540</v>
      </c>
      <c r="C634" s="163" t="s">
        <v>95</v>
      </c>
      <c r="D634" s="163" t="s">
        <v>126</v>
      </c>
      <c r="E634" s="169" t="s">
        <v>6</v>
      </c>
      <c r="F634" s="167">
        <f t="shared" ref="F634:G638" si="191">F635</f>
        <v>1310000</v>
      </c>
      <c r="G634" s="167">
        <f t="shared" si="191"/>
        <v>1310000</v>
      </c>
    </row>
    <row r="635" spans="1:8" ht="54" outlineLevel="3">
      <c r="A635" s="196" t="s">
        <v>853</v>
      </c>
      <c r="B635" s="197" t="s">
        <v>540</v>
      </c>
      <c r="C635" s="197" t="s">
        <v>95</v>
      </c>
      <c r="D635" s="197" t="s">
        <v>138</v>
      </c>
      <c r="E635" s="198" t="s">
        <v>6</v>
      </c>
      <c r="F635" s="171">
        <f t="shared" si="191"/>
        <v>1310000</v>
      </c>
      <c r="G635" s="171">
        <f t="shared" si="191"/>
        <v>1310000</v>
      </c>
    </row>
    <row r="636" spans="1:8" outlineLevel="3">
      <c r="A636" s="200" t="s">
        <v>752</v>
      </c>
      <c r="B636" s="163" t="s">
        <v>540</v>
      </c>
      <c r="C636" s="163" t="s">
        <v>95</v>
      </c>
      <c r="D636" s="163" t="s">
        <v>750</v>
      </c>
      <c r="E636" s="169" t="s">
        <v>6</v>
      </c>
      <c r="F636" s="167">
        <f t="shared" si="191"/>
        <v>1310000</v>
      </c>
      <c r="G636" s="167">
        <f t="shared" si="191"/>
        <v>1310000</v>
      </c>
    </row>
    <row r="637" spans="1:8" ht="108" outlineLevel="3">
      <c r="A637" s="187" t="s">
        <v>405</v>
      </c>
      <c r="B637" s="163" t="s">
        <v>540</v>
      </c>
      <c r="C637" s="163" t="s">
        <v>95</v>
      </c>
      <c r="D637" s="163" t="s">
        <v>751</v>
      </c>
      <c r="E637" s="169" t="s">
        <v>6</v>
      </c>
      <c r="F637" s="167">
        <f t="shared" si="191"/>
        <v>1310000</v>
      </c>
      <c r="G637" s="167">
        <f t="shared" si="191"/>
        <v>1310000</v>
      </c>
    </row>
    <row r="638" spans="1:8" ht="43.5" customHeight="1" outlineLevel="3">
      <c r="A638" s="164" t="s">
        <v>90</v>
      </c>
      <c r="B638" s="163" t="s">
        <v>540</v>
      </c>
      <c r="C638" s="163" t="s">
        <v>95</v>
      </c>
      <c r="D638" s="163" t="s">
        <v>751</v>
      </c>
      <c r="E638" s="169" t="s">
        <v>91</v>
      </c>
      <c r="F638" s="167">
        <f t="shared" si="191"/>
        <v>1310000</v>
      </c>
      <c r="G638" s="167">
        <f t="shared" si="191"/>
        <v>1310000</v>
      </c>
    </row>
    <row r="639" spans="1:8" ht="36" outlineLevel="3">
      <c r="A639" s="164" t="s">
        <v>97</v>
      </c>
      <c r="B639" s="163" t="s">
        <v>540</v>
      </c>
      <c r="C639" s="163" t="s">
        <v>95</v>
      </c>
      <c r="D639" s="163" t="s">
        <v>751</v>
      </c>
      <c r="E639" s="169" t="s">
        <v>98</v>
      </c>
      <c r="F639" s="184">
        <v>1310000</v>
      </c>
      <c r="G639" s="184">
        <v>1310000</v>
      </c>
    </row>
    <row r="640" spans="1:8" outlineLevel="3">
      <c r="A640" s="164" t="s">
        <v>123</v>
      </c>
      <c r="B640" s="163" t="s">
        <v>540</v>
      </c>
      <c r="C640" s="163" t="s">
        <v>124</v>
      </c>
      <c r="D640" s="163" t="s">
        <v>126</v>
      </c>
      <c r="E640" s="169" t="s">
        <v>6</v>
      </c>
      <c r="F640" s="167">
        <f t="shared" ref="F640:G643" si="192">F641</f>
        <v>3179069</v>
      </c>
      <c r="G640" s="167">
        <f t="shared" si="192"/>
        <v>3179069</v>
      </c>
    </row>
    <row r="641" spans="1:8" ht="39.75" customHeight="1" outlineLevel="3">
      <c r="A641" s="196" t="s">
        <v>855</v>
      </c>
      <c r="B641" s="197" t="s">
        <v>540</v>
      </c>
      <c r="C641" s="197" t="s">
        <v>124</v>
      </c>
      <c r="D641" s="197" t="s">
        <v>138</v>
      </c>
      <c r="E641" s="198" t="s">
        <v>6</v>
      </c>
      <c r="F641" s="171">
        <f t="shared" si="192"/>
        <v>3179069</v>
      </c>
      <c r="G641" s="171">
        <f t="shared" si="192"/>
        <v>3179069</v>
      </c>
    </row>
    <row r="642" spans="1:8" ht="36" outlineLevel="3">
      <c r="A642" s="164" t="s">
        <v>862</v>
      </c>
      <c r="B642" s="163" t="s">
        <v>540</v>
      </c>
      <c r="C642" s="163" t="s">
        <v>124</v>
      </c>
      <c r="D642" s="163" t="s">
        <v>139</v>
      </c>
      <c r="E642" s="169" t="s">
        <v>6</v>
      </c>
      <c r="F642" s="167">
        <f t="shared" si="192"/>
        <v>3179069</v>
      </c>
      <c r="G642" s="167">
        <f t="shared" si="192"/>
        <v>3179069</v>
      </c>
    </row>
    <row r="643" spans="1:8" ht="36" outlineLevel="3">
      <c r="A643" s="200" t="s">
        <v>204</v>
      </c>
      <c r="B643" s="163" t="s">
        <v>540</v>
      </c>
      <c r="C643" s="163" t="s">
        <v>124</v>
      </c>
      <c r="D643" s="163" t="s">
        <v>234</v>
      </c>
      <c r="E643" s="169" t="s">
        <v>6</v>
      </c>
      <c r="F643" s="167">
        <f t="shared" si="192"/>
        <v>3179069</v>
      </c>
      <c r="G643" s="167">
        <f t="shared" si="192"/>
        <v>3179069</v>
      </c>
    </row>
    <row r="644" spans="1:8" s="264" customFormat="1" ht="151.5" customHeight="1">
      <c r="A644" s="187" t="s">
        <v>668</v>
      </c>
      <c r="B644" s="163" t="s">
        <v>540</v>
      </c>
      <c r="C644" s="163" t="s">
        <v>124</v>
      </c>
      <c r="D644" s="163" t="s">
        <v>156</v>
      </c>
      <c r="E644" s="169" t="s">
        <v>6</v>
      </c>
      <c r="F644" s="167">
        <f>F647</f>
        <v>3179069</v>
      </c>
      <c r="G644" s="167">
        <f>G647</f>
        <v>3179069</v>
      </c>
      <c r="H644" s="263"/>
    </row>
    <row r="645" spans="1:8" s="264" customFormat="1" ht="0.75" customHeight="1">
      <c r="A645" s="164" t="s">
        <v>15</v>
      </c>
      <c r="B645" s="163" t="s">
        <v>540</v>
      </c>
      <c r="C645" s="163" t="s">
        <v>124</v>
      </c>
      <c r="D645" s="163" t="s">
        <v>156</v>
      </c>
      <c r="E645" s="163" t="s">
        <v>16</v>
      </c>
      <c r="F645" s="167"/>
      <c r="G645" s="167"/>
      <c r="H645" s="263"/>
    </row>
    <row r="646" spans="1:8" s="264" customFormat="1" ht="36">
      <c r="A646" s="164" t="s">
        <v>17</v>
      </c>
      <c r="B646" s="163" t="s">
        <v>540</v>
      </c>
      <c r="C646" s="163" t="s">
        <v>124</v>
      </c>
      <c r="D646" s="163" t="s">
        <v>156</v>
      </c>
      <c r="E646" s="163" t="s">
        <v>18</v>
      </c>
      <c r="F646" s="167"/>
      <c r="G646" s="167"/>
      <c r="H646" s="263"/>
    </row>
    <row r="647" spans="1:8" s="264" customFormat="1">
      <c r="A647" s="164" t="s">
        <v>90</v>
      </c>
      <c r="B647" s="163" t="s">
        <v>540</v>
      </c>
      <c r="C647" s="163" t="s">
        <v>124</v>
      </c>
      <c r="D647" s="163" t="s">
        <v>156</v>
      </c>
      <c r="E647" s="169" t="s">
        <v>91</v>
      </c>
      <c r="F647" s="167">
        <f t="shared" ref="F647:G647" si="193">F648</f>
        <v>3179069</v>
      </c>
      <c r="G647" s="167">
        <f t="shared" si="193"/>
        <v>3179069</v>
      </c>
      <c r="H647" s="263"/>
    </row>
    <row r="648" spans="1:8" s="264" customFormat="1" ht="50.25" customHeight="1">
      <c r="A648" s="164" t="s">
        <v>97</v>
      </c>
      <c r="B648" s="163" t="s">
        <v>540</v>
      </c>
      <c r="C648" s="163" t="s">
        <v>124</v>
      </c>
      <c r="D648" s="163" t="s">
        <v>156</v>
      </c>
      <c r="E648" s="169" t="s">
        <v>98</v>
      </c>
      <c r="F648" s="184">
        <v>3179069</v>
      </c>
      <c r="G648" s="184">
        <v>3179069</v>
      </c>
      <c r="H648" s="263"/>
    </row>
    <row r="649" spans="1:8" s="264" customFormat="1" hidden="1">
      <c r="A649" s="196" t="s">
        <v>100</v>
      </c>
      <c r="B649" s="163" t="s">
        <v>540</v>
      </c>
      <c r="C649" s="163" t="s">
        <v>101</v>
      </c>
      <c r="D649" s="197" t="s">
        <v>126</v>
      </c>
      <c r="E649" s="169" t="s">
        <v>6</v>
      </c>
      <c r="F649" s="184">
        <f t="shared" ref="F649:G654" si="194">F650</f>
        <v>0</v>
      </c>
      <c r="G649" s="184">
        <f t="shared" si="194"/>
        <v>0</v>
      </c>
      <c r="H649" s="263"/>
    </row>
    <row r="650" spans="1:8" ht="17.399999999999999" hidden="1" customHeight="1">
      <c r="A650" s="164" t="s">
        <v>301</v>
      </c>
      <c r="B650" s="163" t="s">
        <v>540</v>
      </c>
      <c r="C650" s="163" t="s">
        <v>300</v>
      </c>
      <c r="D650" s="197" t="s">
        <v>126</v>
      </c>
      <c r="E650" s="169" t="s">
        <v>6</v>
      </c>
      <c r="F650" s="184">
        <f t="shared" si="194"/>
        <v>0</v>
      </c>
      <c r="G650" s="184">
        <f t="shared" si="194"/>
        <v>0</v>
      </c>
    </row>
    <row r="651" spans="1:8" ht="44.4" hidden="1" customHeight="1">
      <c r="A651" s="196" t="s">
        <v>377</v>
      </c>
      <c r="B651" s="163" t="s">
        <v>540</v>
      </c>
      <c r="C651" s="163" t="s">
        <v>300</v>
      </c>
      <c r="D651" s="197" t="s">
        <v>200</v>
      </c>
      <c r="E651" s="169" t="s">
        <v>6</v>
      </c>
      <c r="F651" s="184">
        <f t="shared" si="194"/>
        <v>0</v>
      </c>
      <c r="G651" s="184">
        <f t="shared" si="194"/>
        <v>0</v>
      </c>
    </row>
    <row r="652" spans="1:8" ht="53.4" hidden="1" customHeight="1">
      <c r="A652" s="164" t="s">
        <v>213</v>
      </c>
      <c r="B652" s="163" t="s">
        <v>540</v>
      </c>
      <c r="C652" s="163" t="s">
        <v>300</v>
      </c>
      <c r="D652" s="163" t="s">
        <v>685</v>
      </c>
      <c r="E652" s="169" t="s">
        <v>6</v>
      </c>
      <c r="F652" s="184">
        <f t="shared" si="194"/>
        <v>0</v>
      </c>
      <c r="G652" s="184">
        <f t="shared" si="194"/>
        <v>0</v>
      </c>
    </row>
    <row r="653" spans="1:8" ht="15.75" hidden="1" customHeight="1">
      <c r="A653" s="164" t="s">
        <v>378</v>
      </c>
      <c r="B653" s="163" t="s">
        <v>540</v>
      </c>
      <c r="C653" s="163" t="s">
        <v>300</v>
      </c>
      <c r="D653" s="163" t="s">
        <v>303</v>
      </c>
      <c r="E653" s="169" t="s">
        <v>6</v>
      </c>
      <c r="F653" s="184">
        <f>F654+F657+F660</f>
        <v>0</v>
      </c>
      <c r="G653" s="184">
        <v>0</v>
      </c>
    </row>
    <row r="654" spans="1:8" ht="36" hidden="1">
      <c r="A654" s="164" t="s">
        <v>281</v>
      </c>
      <c r="B654" s="163" t="s">
        <v>540</v>
      </c>
      <c r="C654" s="163" t="s">
        <v>300</v>
      </c>
      <c r="D654" s="163" t="s">
        <v>302</v>
      </c>
      <c r="E654" s="169" t="s">
        <v>6</v>
      </c>
      <c r="F654" s="184">
        <f t="shared" si="194"/>
        <v>0</v>
      </c>
      <c r="G654" s="184">
        <f t="shared" si="194"/>
        <v>0</v>
      </c>
    </row>
    <row r="655" spans="1:8" ht="36" hidden="1">
      <c r="A655" s="164" t="s">
        <v>37</v>
      </c>
      <c r="B655" s="163" t="s">
        <v>540</v>
      </c>
      <c r="C655" s="163" t="s">
        <v>300</v>
      </c>
      <c r="D655" s="163" t="s">
        <v>302</v>
      </c>
      <c r="E655" s="169" t="s">
        <v>38</v>
      </c>
      <c r="F655" s="184">
        <f>F656</f>
        <v>0</v>
      </c>
      <c r="G655" s="184">
        <f>G656</f>
        <v>0</v>
      </c>
    </row>
    <row r="656" spans="1:8" ht="18" hidden="1" customHeight="1">
      <c r="A656" s="164" t="s">
        <v>74</v>
      </c>
      <c r="B656" s="163" t="s">
        <v>540</v>
      </c>
      <c r="C656" s="163" t="s">
        <v>300</v>
      </c>
      <c r="D656" s="163" t="s">
        <v>302</v>
      </c>
      <c r="E656" s="169" t="s">
        <v>75</v>
      </c>
      <c r="F656" s="184">
        <f>потребность!I659</f>
        <v>0</v>
      </c>
      <c r="G656" s="184">
        <v>0</v>
      </c>
    </row>
    <row r="657" spans="1:7" ht="54" hidden="1">
      <c r="A657" s="164" t="s">
        <v>778</v>
      </c>
      <c r="B657" s="163" t="s">
        <v>540</v>
      </c>
      <c r="C657" s="163" t="s">
        <v>300</v>
      </c>
      <c r="D657" s="163" t="s">
        <v>779</v>
      </c>
      <c r="E657" s="169" t="s">
        <v>6</v>
      </c>
      <c r="F657" s="111">
        <f t="shared" ref="F657:G658" si="195">F658</f>
        <v>0</v>
      </c>
      <c r="G657" s="111">
        <f t="shared" si="195"/>
        <v>0</v>
      </c>
    </row>
    <row r="658" spans="1:7" s="257" customFormat="1" ht="36" hidden="1">
      <c r="A658" s="164" t="s">
        <v>37</v>
      </c>
      <c r="B658" s="163" t="s">
        <v>540</v>
      </c>
      <c r="C658" s="163" t="s">
        <v>300</v>
      </c>
      <c r="D658" s="163" t="s">
        <v>779</v>
      </c>
      <c r="E658" s="169" t="s">
        <v>38</v>
      </c>
      <c r="F658" s="111">
        <f t="shared" si="195"/>
        <v>0</v>
      </c>
      <c r="G658" s="111">
        <f t="shared" si="195"/>
        <v>0</v>
      </c>
    </row>
    <row r="659" spans="1:7" s="257" customFormat="1" ht="4.6500000000000004" hidden="1" customHeight="1">
      <c r="A659" s="164" t="s">
        <v>74</v>
      </c>
      <c r="B659" s="163" t="s">
        <v>540</v>
      </c>
      <c r="C659" s="163" t="s">
        <v>300</v>
      </c>
      <c r="D659" s="163" t="s">
        <v>779</v>
      </c>
      <c r="E659" s="169" t="s">
        <v>75</v>
      </c>
      <c r="F659" s="184">
        <v>0</v>
      </c>
      <c r="G659" s="184"/>
    </row>
    <row r="660" spans="1:7" s="257" customFormat="1" ht="72" hidden="1">
      <c r="A660" s="164" t="s">
        <v>791</v>
      </c>
      <c r="B660" s="163" t="s">
        <v>540</v>
      </c>
      <c r="C660" s="163" t="s">
        <v>300</v>
      </c>
      <c r="D660" s="163" t="s">
        <v>790</v>
      </c>
      <c r="E660" s="169" t="s">
        <v>6</v>
      </c>
      <c r="F660" s="184">
        <f>F661</f>
        <v>0</v>
      </c>
      <c r="G660" s="184">
        <f>G661</f>
        <v>0</v>
      </c>
    </row>
    <row r="661" spans="1:7" s="257" customFormat="1" ht="36" hidden="1">
      <c r="A661" s="164" t="s">
        <v>37</v>
      </c>
      <c r="B661" s="163" t="s">
        <v>540</v>
      </c>
      <c r="C661" s="163" t="s">
        <v>300</v>
      </c>
      <c r="D661" s="163" t="s">
        <v>790</v>
      </c>
      <c r="E661" s="169" t="s">
        <v>38</v>
      </c>
      <c r="F661" s="184">
        <f>F662</f>
        <v>0</v>
      </c>
      <c r="G661" s="184">
        <f>G662</f>
        <v>0</v>
      </c>
    </row>
    <row r="662" spans="1:7" s="257" customFormat="1" ht="12.75" hidden="1" customHeight="1">
      <c r="A662" s="164" t="s">
        <v>74</v>
      </c>
      <c r="B662" s="163" t="s">
        <v>540</v>
      </c>
      <c r="C662" s="163" t="s">
        <v>300</v>
      </c>
      <c r="D662" s="163" t="s">
        <v>790</v>
      </c>
      <c r="E662" s="169" t="s">
        <v>75</v>
      </c>
      <c r="F662" s="184">
        <v>0</v>
      </c>
      <c r="G662" s="184"/>
    </row>
    <row r="663" spans="1:7" s="257" customFormat="1" ht="34.799999999999997">
      <c r="A663" s="269" t="s">
        <v>764</v>
      </c>
      <c r="B663" s="226">
        <v>959</v>
      </c>
      <c r="C663" s="227" t="s">
        <v>5</v>
      </c>
      <c r="D663" s="227" t="s">
        <v>126</v>
      </c>
      <c r="E663" s="227" t="s">
        <v>6</v>
      </c>
      <c r="F663" s="228">
        <f>F664</f>
        <v>1510000</v>
      </c>
      <c r="G663" s="228">
        <f t="shared" ref="F663:G665" si="196">G664</f>
        <v>1540000</v>
      </c>
    </row>
    <row r="664" spans="1:7" s="257" customFormat="1">
      <c r="A664" s="164" t="s">
        <v>7</v>
      </c>
      <c r="B664" s="163" t="s">
        <v>765</v>
      </c>
      <c r="C664" s="163" t="s">
        <v>8</v>
      </c>
      <c r="D664" s="163" t="s">
        <v>126</v>
      </c>
      <c r="E664" s="163" t="s">
        <v>6</v>
      </c>
      <c r="F664" s="218">
        <f>F665</f>
        <v>1510000</v>
      </c>
      <c r="G664" s="218">
        <f t="shared" si="196"/>
        <v>1540000</v>
      </c>
    </row>
    <row r="665" spans="1:7" s="257" customFormat="1" ht="54">
      <c r="A665" s="164" t="s">
        <v>9</v>
      </c>
      <c r="B665" s="163" t="s">
        <v>765</v>
      </c>
      <c r="C665" s="163" t="s">
        <v>10</v>
      </c>
      <c r="D665" s="163" t="s">
        <v>126</v>
      </c>
      <c r="E665" s="163" t="s">
        <v>6</v>
      </c>
      <c r="F665" s="167">
        <f t="shared" si="196"/>
        <v>1510000</v>
      </c>
      <c r="G665" s="167">
        <f t="shared" si="196"/>
        <v>1540000</v>
      </c>
    </row>
    <row r="666" spans="1:7" s="257" customFormat="1" ht="36">
      <c r="A666" s="164" t="s">
        <v>132</v>
      </c>
      <c r="B666" s="163" t="s">
        <v>765</v>
      </c>
      <c r="C666" s="163" t="s">
        <v>10</v>
      </c>
      <c r="D666" s="163" t="s">
        <v>127</v>
      </c>
      <c r="E666" s="163" t="s">
        <v>6</v>
      </c>
      <c r="F666" s="167">
        <f>F667+F670</f>
        <v>1510000</v>
      </c>
      <c r="G666" s="167">
        <f t="shared" ref="G666" si="197">G667+G670</f>
        <v>1540000</v>
      </c>
    </row>
    <row r="667" spans="1:7" s="257" customFormat="1">
      <c r="A667" s="164" t="s">
        <v>766</v>
      </c>
      <c r="B667" s="163" t="s">
        <v>765</v>
      </c>
      <c r="C667" s="163" t="s">
        <v>10</v>
      </c>
      <c r="D667" s="163" t="s">
        <v>143</v>
      </c>
      <c r="E667" s="163" t="s">
        <v>6</v>
      </c>
      <c r="F667" s="167">
        <f t="shared" ref="F667:G668" si="198">F668</f>
        <v>1220000</v>
      </c>
      <c r="G667" s="167">
        <f t="shared" si="198"/>
        <v>1240000</v>
      </c>
    </row>
    <row r="668" spans="1:7" s="257" customFormat="1" ht="90">
      <c r="A668" s="164" t="s">
        <v>11</v>
      </c>
      <c r="B668" s="163" t="s">
        <v>765</v>
      </c>
      <c r="C668" s="163" t="s">
        <v>10</v>
      </c>
      <c r="D668" s="163" t="s">
        <v>143</v>
      </c>
      <c r="E668" s="163" t="s">
        <v>12</v>
      </c>
      <c r="F668" s="167">
        <f t="shared" si="198"/>
        <v>1220000</v>
      </c>
      <c r="G668" s="167">
        <f t="shared" si="198"/>
        <v>1240000</v>
      </c>
    </row>
    <row r="669" spans="1:7" s="257" customFormat="1" ht="36">
      <c r="A669" s="164" t="s">
        <v>13</v>
      </c>
      <c r="B669" s="163" t="s">
        <v>765</v>
      </c>
      <c r="C669" s="163" t="s">
        <v>10</v>
      </c>
      <c r="D669" s="163" t="s">
        <v>143</v>
      </c>
      <c r="E669" s="163" t="s">
        <v>14</v>
      </c>
      <c r="F669" s="184">
        <v>1220000</v>
      </c>
      <c r="G669" s="184">
        <v>1240000</v>
      </c>
    </row>
    <row r="670" spans="1:7" s="257" customFormat="1" ht="54">
      <c r="A670" s="164" t="s">
        <v>498</v>
      </c>
      <c r="B670" s="163" t="s">
        <v>765</v>
      </c>
      <c r="C670" s="163" t="s">
        <v>10</v>
      </c>
      <c r="D670" s="163" t="s">
        <v>499</v>
      </c>
      <c r="E670" s="163" t="s">
        <v>6</v>
      </c>
      <c r="F670" s="184">
        <f t="shared" ref="F670:G670" si="199">F671+F673</f>
        <v>290000</v>
      </c>
      <c r="G670" s="184">
        <f t="shared" si="199"/>
        <v>300000</v>
      </c>
    </row>
    <row r="671" spans="1:7" s="257" customFormat="1" ht="90">
      <c r="A671" s="164" t="s">
        <v>11</v>
      </c>
      <c r="B671" s="163" t="s">
        <v>765</v>
      </c>
      <c r="C671" s="163" t="s">
        <v>10</v>
      </c>
      <c r="D671" s="163" t="s">
        <v>499</v>
      </c>
      <c r="E671" s="163" t="s">
        <v>12</v>
      </c>
      <c r="F671" s="184">
        <f t="shared" ref="F671:G671" si="200">F672</f>
        <v>210000</v>
      </c>
      <c r="G671" s="184">
        <f t="shared" si="200"/>
        <v>220000</v>
      </c>
    </row>
    <row r="672" spans="1:7" s="257" customFormat="1" ht="36">
      <c r="A672" s="164" t="s">
        <v>13</v>
      </c>
      <c r="B672" s="163" t="s">
        <v>765</v>
      </c>
      <c r="C672" s="163" t="s">
        <v>10</v>
      </c>
      <c r="D672" s="163" t="s">
        <v>499</v>
      </c>
      <c r="E672" s="163" t="s">
        <v>14</v>
      </c>
      <c r="F672" s="184">
        <v>210000</v>
      </c>
      <c r="G672" s="184">
        <v>220000</v>
      </c>
    </row>
    <row r="673" spans="1:12" s="257" customFormat="1" ht="36">
      <c r="A673" s="164" t="s">
        <v>15</v>
      </c>
      <c r="B673" s="163" t="s">
        <v>765</v>
      </c>
      <c r="C673" s="163" t="s">
        <v>10</v>
      </c>
      <c r="D673" s="163" t="s">
        <v>499</v>
      </c>
      <c r="E673" s="163" t="s">
        <v>16</v>
      </c>
      <c r="F673" s="184">
        <f t="shared" ref="F673:G673" si="201">F674</f>
        <v>80000</v>
      </c>
      <c r="G673" s="184">
        <f t="shared" si="201"/>
        <v>80000</v>
      </c>
      <c r="K673" s="257">
        <f>F683-F677</f>
        <v>426818000.00000012</v>
      </c>
      <c r="L673" s="257">
        <f>G683-G677</f>
        <v>439402999.99700004</v>
      </c>
    </row>
    <row r="674" spans="1:12" s="257" customFormat="1" ht="36">
      <c r="A674" s="164" t="s">
        <v>17</v>
      </c>
      <c r="B674" s="163" t="s">
        <v>765</v>
      </c>
      <c r="C674" s="163" t="s">
        <v>10</v>
      </c>
      <c r="D674" s="163" t="s">
        <v>499</v>
      </c>
      <c r="E674" s="163" t="s">
        <v>18</v>
      </c>
      <c r="F674" s="184">
        <f>потребность!I677</f>
        <v>80000</v>
      </c>
      <c r="G674" s="184">
        <v>80000</v>
      </c>
      <c r="I674" s="369" t="s">
        <v>824</v>
      </c>
      <c r="J674" s="369"/>
      <c r="K674" s="323">
        <f>K673*2.5%</f>
        <v>10670450.000000004</v>
      </c>
      <c r="L674" s="323"/>
    </row>
    <row r="675" spans="1:12" s="257" customFormat="1">
      <c r="A675" s="270" t="s">
        <v>788</v>
      </c>
      <c r="B675" s="271"/>
      <c r="C675" s="271"/>
      <c r="D675" s="272"/>
      <c r="E675" s="271"/>
      <c r="F675" s="215">
        <f>F14+F36+F461+F493+F663</f>
        <v>898335219.13600004</v>
      </c>
      <c r="G675" s="215">
        <f>G14+G36+G461+G493+G663</f>
        <v>916778278.91700006</v>
      </c>
      <c r="I675" s="369" t="s">
        <v>825</v>
      </c>
      <c r="J675" s="369"/>
      <c r="K675" s="323">
        <f>L673*5%</f>
        <v>21970149.999850005</v>
      </c>
    </row>
    <row r="676" spans="1:12" s="257" customFormat="1">
      <c r="A676" s="256"/>
      <c r="B676" s="14"/>
      <c r="C676" s="14"/>
      <c r="D676" s="273" t="s">
        <v>820</v>
      </c>
      <c r="E676" s="14"/>
      <c r="F676" s="274">
        <f>'прил 8'!C13</f>
        <v>426818000</v>
      </c>
      <c r="G676" s="274">
        <f>'прил 8'!D13</f>
        <v>439403000</v>
      </c>
    </row>
    <row r="677" spans="1:12" s="257" customFormat="1">
      <c r="A677" s="256"/>
      <c r="B677" s="14"/>
      <c r="C677" s="14"/>
      <c r="D677" s="273" t="s">
        <v>542</v>
      </c>
      <c r="E677" s="14"/>
      <c r="F677" s="274">
        <f>F644+F637+F602+F567+F564+F544+F541+F537+F504+F445+F427+F415+F412+F402+F366+F349+F301+F292+F188+F182+F161+F152+F147+F142+F137+F129+F134+F53+F424+F377-411090.13+129.24</f>
        <v>482187669.13599992</v>
      </c>
      <c r="G677" s="274">
        <f>G644+G637+G602+G567+G564+G544+G541+G537+G504+G445+G427+G415+G412+G402+G366+G349+G301+G292+G188+G182+G161+G152+G147+G142+G137+G129+G134+G53+G424-287538.11</f>
        <v>499345428.92000002</v>
      </c>
    </row>
    <row r="678" spans="1:12" s="257" customFormat="1">
      <c r="A678" s="256"/>
      <c r="B678" s="14"/>
      <c r="C678" s="14"/>
      <c r="D678" s="324" t="s">
        <v>821</v>
      </c>
      <c r="E678" s="14"/>
      <c r="F678" s="325">
        <f>F676*2.5%</f>
        <v>10670450</v>
      </c>
      <c r="G678" s="325">
        <f>G676*5%</f>
        <v>21970150</v>
      </c>
    </row>
    <row r="679" spans="1:12" s="257" customFormat="1">
      <c r="A679" s="256"/>
      <c r="B679" s="14"/>
      <c r="C679" s="14"/>
      <c r="D679" s="273"/>
      <c r="E679" s="14"/>
      <c r="F679" s="274">
        <f>F676+F677</f>
        <v>909005669.13599992</v>
      </c>
      <c r="G679" s="274">
        <f>G676+G677</f>
        <v>938748428.92000008</v>
      </c>
    </row>
    <row r="680" spans="1:12" s="257" customFormat="1">
      <c r="A680" s="256"/>
      <c r="B680" s="14"/>
      <c r="C680" s="14"/>
      <c r="D680" s="273" t="s">
        <v>822</v>
      </c>
      <c r="E680" s="14"/>
      <c r="F680" s="274">
        <v>411090.13</v>
      </c>
      <c r="G680" s="274">
        <v>287538.11</v>
      </c>
    </row>
    <row r="681" spans="1:12" s="257" customFormat="1">
      <c r="A681" s="256"/>
      <c r="B681" s="14"/>
      <c r="C681" s="14"/>
      <c r="D681" s="273" t="s">
        <v>823</v>
      </c>
      <c r="E681" s="14"/>
      <c r="F681" s="274"/>
    </row>
    <row r="682" spans="1:12" s="257" customFormat="1">
      <c r="A682" s="256"/>
      <c r="B682" s="14"/>
      <c r="C682" s="14"/>
      <c r="D682" s="273"/>
      <c r="E682" s="14"/>
      <c r="F682" s="274"/>
    </row>
    <row r="683" spans="1:12" s="257" customFormat="1">
      <c r="A683" s="256"/>
      <c r="B683" s="14"/>
      <c r="C683" s="14"/>
      <c r="D683" s="273"/>
      <c r="E683" s="14"/>
      <c r="F683" s="274">
        <f>F675+F678</f>
        <v>909005669.13600004</v>
      </c>
      <c r="G683" s="274">
        <f>G675+G678</f>
        <v>938748428.91700006</v>
      </c>
    </row>
    <row r="684" spans="1:12" s="257" customFormat="1">
      <c r="A684" s="256"/>
      <c r="B684" s="14"/>
      <c r="C684" s="14"/>
      <c r="D684" s="273"/>
      <c r="E684" s="14"/>
      <c r="F684" s="274">
        <f>'прил 8'!C62</f>
        <v>909005669.13999999</v>
      </c>
      <c r="G684" s="274">
        <f>'прил 8'!D62</f>
        <v>938748428.92000008</v>
      </c>
    </row>
    <row r="685" spans="1:12" s="257" customFormat="1">
      <c r="A685" s="256"/>
      <c r="B685" s="14"/>
      <c r="C685" s="14"/>
      <c r="D685" s="273"/>
      <c r="E685" s="14"/>
      <c r="F685" s="274">
        <f>F684-F683</f>
        <v>3.9999485015869141E-3</v>
      </c>
      <c r="G685" s="274">
        <f>G684-G683</f>
        <v>3.0000209808349609E-3</v>
      </c>
    </row>
    <row r="686" spans="1:12" s="257" customFormat="1">
      <c r="A686" s="256"/>
      <c r="B686" s="14"/>
      <c r="C686" s="14"/>
      <c r="D686" s="273"/>
      <c r="E686" s="14"/>
      <c r="F686" s="274"/>
    </row>
    <row r="687" spans="1:12" s="257" customFormat="1">
      <c r="A687" s="256"/>
      <c r="B687" s="14"/>
      <c r="C687" s="14"/>
      <c r="D687" s="273"/>
      <c r="E687" s="14"/>
      <c r="F687" s="274"/>
    </row>
    <row r="688" spans="1:12" s="257" customFormat="1">
      <c r="A688" s="256"/>
      <c r="B688" s="14" t="s">
        <v>852</v>
      </c>
      <c r="C688" s="14"/>
      <c r="D688" s="273"/>
      <c r="E688" s="14"/>
      <c r="F688" s="275">
        <f>F393+F414+F419</f>
        <v>25861130.34</v>
      </c>
      <c r="G688" s="275">
        <f>G393+G414+G419</f>
        <v>26565604.48</v>
      </c>
    </row>
    <row r="689" spans="1:7" s="257" customFormat="1">
      <c r="A689" s="256"/>
      <c r="B689" s="14"/>
      <c r="C689" s="14"/>
      <c r="D689" s="273"/>
      <c r="E689" s="14"/>
      <c r="F689" s="276"/>
    </row>
    <row r="690" spans="1:7" s="257" customFormat="1">
      <c r="A690" s="256"/>
      <c r="B690" s="14"/>
      <c r="C690" s="14"/>
      <c r="D690" s="273"/>
      <c r="E690" s="14"/>
      <c r="F690" s="274"/>
    </row>
    <row r="695" spans="1:7" s="257" customFormat="1">
      <c r="A695" s="256"/>
      <c r="B695" s="14" t="s">
        <v>673</v>
      </c>
      <c r="C695" s="14"/>
      <c r="D695" s="274"/>
      <c r="E695" s="14"/>
      <c r="F695" s="277"/>
      <c r="G695" s="274"/>
    </row>
    <row r="696" spans="1:7" s="257" customFormat="1">
      <c r="A696" s="256"/>
      <c r="B696" s="14" t="s">
        <v>672</v>
      </c>
      <c r="C696" s="14"/>
      <c r="D696" s="274"/>
      <c r="E696" s="14"/>
      <c r="F696" s="277"/>
      <c r="G696" s="274"/>
    </row>
  </sheetData>
  <mergeCells count="12">
    <mergeCell ref="F1:G1"/>
    <mergeCell ref="I675:J675"/>
    <mergeCell ref="A9:F9"/>
    <mergeCell ref="A10:F10"/>
    <mergeCell ref="A11:F11"/>
    <mergeCell ref="I674:J674"/>
    <mergeCell ref="F3:G3"/>
    <mergeCell ref="F4:G4"/>
    <mergeCell ref="E2:G2"/>
    <mergeCell ref="F5:G5"/>
    <mergeCell ref="F7:G7"/>
    <mergeCell ref="E6:G6"/>
  </mergeCells>
  <pageMargins left="1.1811023622047243" right="0.39370078740157483" top="0.78740157480314965" bottom="0.78740157480314965" header="0.31496062992125984" footer="0.31496062992125984"/>
  <pageSetup paperSize="9" scale="59" orientation="portrait" r:id="rId1"/>
  <rowBreaks count="4" manualBreakCount="4">
    <brk id="420" max="6" man="1"/>
    <brk id="453" max="6" man="1"/>
    <brk id="533" max="6" man="1"/>
    <brk id="603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717"/>
  <sheetViews>
    <sheetView view="pageBreakPreview" topLeftCell="A94" zoomScale="75" zoomScaleNormal="100" zoomScaleSheetLayoutView="75" workbookViewId="0">
      <selection activeCell="C1" sqref="C1:E1"/>
    </sheetView>
  </sheetViews>
  <sheetFormatPr defaultRowHeight="18" outlineLevelRow="6"/>
  <cols>
    <col min="1" max="1" width="80.109375" style="283" customWidth="1"/>
    <col min="2" max="2" width="8.44140625" style="283" customWidth="1"/>
    <col min="3" max="3" width="18.88671875" style="283" customWidth="1"/>
    <col min="4" max="4" width="7.109375" style="283" customWidth="1"/>
    <col min="5" max="5" width="18.44140625" style="283" customWidth="1"/>
    <col min="6" max="6" width="9.109375" style="259"/>
    <col min="7" max="7" width="18" style="259" customWidth="1"/>
    <col min="8" max="8" width="23.88671875" style="259" customWidth="1"/>
    <col min="9" max="252" width="9.109375" style="259"/>
    <col min="253" max="253" width="76.33203125" style="259" customWidth="1"/>
    <col min="254" max="254" width="7.6640625" style="259" customWidth="1"/>
    <col min="255" max="255" width="9.6640625" style="259" customWidth="1"/>
    <col min="256" max="256" width="7.6640625" style="259" customWidth="1"/>
    <col min="257" max="257" width="14.33203125" style="259" customWidth="1"/>
    <col min="258" max="508" width="9.109375" style="259"/>
    <col min="509" max="509" width="76.33203125" style="259" customWidth="1"/>
    <col min="510" max="510" width="7.6640625" style="259" customWidth="1"/>
    <col min="511" max="511" width="9.6640625" style="259" customWidth="1"/>
    <col min="512" max="512" width="7.6640625" style="259" customWidth="1"/>
    <col min="513" max="513" width="14.33203125" style="259" customWidth="1"/>
    <col min="514" max="764" width="9.109375" style="259"/>
    <col min="765" max="765" width="76.33203125" style="259" customWidth="1"/>
    <col min="766" max="766" width="7.6640625" style="259" customWidth="1"/>
    <col min="767" max="767" width="9.6640625" style="259" customWidth="1"/>
    <col min="768" max="768" width="7.6640625" style="259" customWidth="1"/>
    <col min="769" max="769" width="14.33203125" style="259" customWidth="1"/>
    <col min="770" max="1020" width="9.109375" style="259"/>
    <col min="1021" max="1021" width="76.33203125" style="259" customWidth="1"/>
    <col min="1022" max="1022" width="7.6640625" style="259" customWidth="1"/>
    <col min="1023" max="1023" width="9.6640625" style="259" customWidth="1"/>
    <col min="1024" max="1024" width="7.6640625" style="259" customWidth="1"/>
    <col min="1025" max="1025" width="14.33203125" style="259" customWidth="1"/>
    <col min="1026" max="1276" width="9.109375" style="259"/>
    <col min="1277" max="1277" width="76.33203125" style="259" customWidth="1"/>
    <col min="1278" max="1278" width="7.6640625" style="259" customWidth="1"/>
    <col min="1279" max="1279" width="9.6640625" style="259" customWidth="1"/>
    <col min="1280" max="1280" width="7.6640625" style="259" customWidth="1"/>
    <col min="1281" max="1281" width="14.33203125" style="259" customWidth="1"/>
    <col min="1282" max="1532" width="9.109375" style="259"/>
    <col min="1533" max="1533" width="76.33203125" style="259" customWidth="1"/>
    <col min="1534" max="1534" width="7.6640625" style="259" customWidth="1"/>
    <col min="1535" max="1535" width="9.6640625" style="259" customWidth="1"/>
    <col min="1536" max="1536" width="7.6640625" style="259" customWidth="1"/>
    <col min="1537" max="1537" width="14.33203125" style="259" customWidth="1"/>
    <col min="1538" max="1788" width="9.109375" style="259"/>
    <col min="1789" max="1789" width="76.33203125" style="259" customWidth="1"/>
    <col min="1790" max="1790" width="7.6640625" style="259" customWidth="1"/>
    <col min="1791" max="1791" width="9.6640625" style="259" customWidth="1"/>
    <col min="1792" max="1792" width="7.6640625" style="259" customWidth="1"/>
    <col min="1793" max="1793" width="14.33203125" style="259" customWidth="1"/>
    <col min="1794" max="2044" width="9.109375" style="259"/>
    <col min="2045" max="2045" width="76.33203125" style="259" customWidth="1"/>
    <col min="2046" max="2046" width="7.6640625" style="259" customWidth="1"/>
    <col min="2047" max="2047" width="9.6640625" style="259" customWidth="1"/>
    <col min="2048" max="2048" width="7.6640625" style="259" customWidth="1"/>
    <col min="2049" max="2049" width="14.33203125" style="259" customWidth="1"/>
    <col min="2050" max="2300" width="9.109375" style="259"/>
    <col min="2301" max="2301" width="76.33203125" style="259" customWidth="1"/>
    <col min="2302" max="2302" width="7.6640625" style="259" customWidth="1"/>
    <col min="2303" max="2303" width="9.6640625" style="259" customWidth="1"/>
    <col min="2304" max="2304" width="7.6640625" style="259" customWidth="1"/>
    <col min="2305" max="2305" width="14.33203125" style="259" customWidth="1"/>
    <col min="2306" max="2556" width="9.109375" style="259"/>
    <col min="2557" max="2557" width="76.33203125" style="259" customWidth="1"/>
    <col min="2558" max="2558" width="7.6640625" style="259" customWidth="1"/>
    <col min="2559" max="2559" width="9.6640625" style="259" customWidth="1"/>
    <col min="2560" max="2560" width="7.6640625" style="259" customWidth="1"/>
    <col min="2561" max="2561" width="14.33203125" style="259" customWidth="1"/>
    <col min="2562" max="2812" width="9.109375" style="259"/>
    <col min="2813" max="2813" width="76.33203125" style="259" customWidth="1"/>
    <col min="2814" max="2814" width="7.6640625" style="259" customWidth="1"/>
    <col min="2815" max="2815" width="9.6640625" style="259" customWidth="1"/>
    <col min="2816" max="2816" width="7.6640625" style="259" customWidth="1"/>
    <col min="2817" max="2817" width="14.33203125" style="259" customWidth="1"/>
    <col min="2818" max="3068" width="9.109375" style="259"/>
    <col min="3069" max="3069" width="76.33203125" style="259" customWidth="1"/>
    <col min="3070" max="3070" width="7.6640625" style="259" customWidth="1"/>
    <col min="3071" max="3071" width="9.6640625" style="259" customWidth="1"/>
    <col min="3072" max="3072" width="7.6640625" style="259" customWidth="1"/>
    <col min="3073" max="3073" width="14.33203125" style="259" customWidth="1"/>
    <col min="3074" max="3324" width="9.109375" style="259"/>
    <col min="3325" max="3325" width="76.33203125" style="259" customWidth="1"/>
    <col min="3326" max="3326" width="7.6640625" style="259" customWidth="1"/>
    <col min="3327" max="3327" width="9.6640625" style="259" customWidth="1"/>
    <col min="3328" max="3328" width="7.6640625" style="259" customWidth="1"/>
    <col min="3329" max="3329" width="14.33203125" style="259" customWidth="1"/>
    <col min="3330" max="3580" width="9.109375" style="259"/>
    <col min="3581" max="3581" width="76.33203125" style="259" customWidth="1"/>
    <col min="3582" max="3582" width="7.6640625" style="259" customWidth="1"/>
    <col min="3583" max="3583" width="9.6640625" style="259" customWidth="1"/>
    <col min="3584" max="3584" width="7.6640625" style="259" customWidth="1"/>
    <col min="3585" max="3585" width="14.33203125" style="259" customWidth="1"/>
    <col min="3586" max="3836" width="9.109375" style="259"/>
    <col min="3837" max="3837" width="76.33203125" style="259" customWidth="1"/>
    <col min="3838" max="3838" width="7.6640625" style="259" customWidth="1"/>
    <col min="3839" max="3839" width="9.6640625" style="259" customWidth="1"/>
    <col min="3840" max="3840" width="7.6640625" style="259" customWidth="1"/>
    <col min="3841" max="3841" width="14.33203125" style="259" customWidth="1"/>
    <col min="3842" max="4092" width="9.109375" style="259"/>
    <col min="4093" max="4093" width="76.33203125" style="259" customWidth="1"/>
    <col min="4094" max="4094" width="7.6640625" style="259" customWidth="1"/>
    <col min="4095" max="4095" width="9.6640625" style="259" customWidth="1"/>
    <col min="4096" max="4096" width="7.6640625" style="259" customWidth="1"/>
    <col min="4097" max="4097" width="14.33203125" style="259" customWidth="1"/>
    <col min="4098" max="4348" width="9.109375" style="259"/>
    <col min="4349" max="4349" width="76.33203125" style="259" customWidth="1"/>
    <col min="4350" max="4350" width="7.6640625" style="259" customWidth="1"/>
    <col min="4351" max="4351" width="9.6640625" style="259" customWidth="1"/>
    <col min="4352" max="4352" width="7.6640625" style="259" customWidth="1"/>
    <col min="4353" max="4353" width="14.33203125" style="259" customWidth="1"/>
    <col min="4354" max="4604" width="9.109375" style="259"/>
    <col min="4605" max="4605" width="76.33203125" style="259" customWidth="1"/>
    <col min="4606" max="4606" width="7.6640625" style="259" customWidth="1"/>
    <col min="4607" max="4607" width="9.6640625" style="259" customWidth="1"/>
    <col min="4608" max="4608" width="7.6640625" style="259" customWidth="1"/>
    <col min="4609" max="4609" width="14.33203125" style="259" customWidth="1"/>
    <col min="4610" max="4860" width="9.109375" style="259"/>
    <col min="4861" max="4861" width="76.33203125" style="259" customWidth="1"/>
    <col min="4862" max="4862" width="7.6640625" style="259" customWidth="1"/>
    <col min="4863" max="4863" width="9.6640625" style="259" customWidth="1"/>
    <col min="4864" max="4864" width="7.6640625" style="259" customWidth="1"/>
    <col min="4865" max="4865" width="14.33203125" style="259" customWidth="1"/>
    <col min="4866" max="5116" width="9.109375" style="259"/>
    <col min="5117" max="5117" width="76.33203125" style="259" customWidth="1"/>
    <col min="5118" max="5118" width="7.6640625" style="259" customWidth="1"/>
    <col min="5119" max="5119" width="9.6640625" style="259" customWidth="1"/>
    <col min="5120" max="5120" width="7.6640625" style="259" customWidth="1"/>
    <col min="5121" max="5121" width="14.33203125" style="259" customWidth="1"/>
    <col min="5122" max="5372" width="9.109375" style="259"/>
    <col min="5373" max="5373" width="76.33203125" style="259" customWidth="1"/>
    <col min="5374" max="5374" width="7.6640625" style="259" customWidth="1"/>
    <col min="5375" max="5375" width="9.6640625" style="259" customWidth="1"/>
    <col min="5376" max="5376" width="7.6640625" style="259" customWidth="1"/>
    <col min="5377" max="5377" width="14.33203125" style="259" customWidth="1"/>
    <col min="5378" max="5628" width="9.109375" style="259"/>
    <col min="5629" max="5629" width="76.33203125" style="259" customWidth="1"/>
    <col min="5630" max="5630" width="7.6640625" style="259" customWidth="1"/>
    <col min="5631" max="5631" width="9.6640625" style="259" customWidth="1"/>
    <col min="5632" max="5632" width="7.6640625" style="259" customWidth="1"/>
    <col min="5633" max="5633" width="14.33203125" style="259" customWidth="1"/>
    <col min="5634" max="5884" width="9.109375" style="259"/>
    <col min="5885" max="5885" width="76.33203125" style="259" customWidth="1"/>
    <col min="5886" max="5886" width="7.6640625" style="259" customWidth="1"/>
    <col min="5887" max="5887" width="9.6640625" style="259" customWidth="1"/>
    <col min="5888" max="5888" width="7.6640625" style="259" customWidth="1"/>
    <col min="5889" max="5889" width="14.33203125" style="259" customWidth="1"/>
    <col min="5890" max="6140" width="9.109375" style="259"/>
    <col min="6141" max="6141" width="76.33203125" style="259" customWidth="1"/>
    <col min="6142" max="6142" width="7.6640625" style="259" customWidth="1"/>
    <col min="6143" max="6143" width="9.6640625" style="259" customWidth="1"/>
    <col min="6144" max="6144" width="7.6640625" style="259" customWidth="1"/>
    <col min="6145" max="6145" width="14.33203125" style="259" customWidth="1"/>
    <col min="6146" max="6396" width="9.109375" style="259"/>
    <col min="6397" max="6397" width="76.33203125" style="259" customWidth="1"/>
    <col min="6398" max="6398" width="7.6640625" style="259" customWidth="1"/>
    <col min="6399" max="6399" width="9.6640625" style="259" customWidth="1"/>
    <col min="6400" max="6400" width="7.6640625" style="259" customWidth="1"/>
    <col min="6401" max="6401" width="14.33203125" style="259" customWidth="1"/>
    <col min="6402" max="6652" width="9.109375" style="259"/>
    <col min="6653" max="6653" width="76.33203125" style="259" customWidth="1"/>
    <col min="6654" max="6654" width="7.6640625" style="259" customWidth="1"/>
    <col min="6655" max="6655" width="9.6640625" style="259" customWidth="1"/>
    <col min="6656" max="6656" width="7.6640625" style="259" customWidth="1"/>
    <col min="6657" max="6657" width="14.33203125" style="259" customWidth="1"/>
    <col min="6658" max="6908" width="9.109375" style="259"/>
    <col min="6909" max="6909" width="76.33203125" style="259" customWidth="1"/>
    <col min="6910" max="6910" width="7.6640625" style="259" customWidth="1"/>
    <col min="6911" max="6911" width="9.6640625" style="259" customWidth="1"/>
    <col min="6912" max="6912" width="7.6640625" style="259" customWidth="1"/>
    <col min="6913" max="6913" width="14.33203125" style="259" customWidth="1"/>
    <col min="6914" max="7164" width="9.109375" style="259"/>
    <col min="7165" max="7165" width="76.33203125" style="259" customWidth="1"/>
    <col min="7166" max="7166" width="7.6640625" style="259" customWidth="1"/>
    <col min="7167" max="7167" width="9.6640625" style="259" customWidth="1"/>
    <col min="7168" max="7168" width="7.6640625" style="259" customWidth="1"/>
    <col min="7169" max="7169" width="14.33203125" style="259" customWidth="1"/>
    <col min="7170" max="7420" width="9.109375" style="259"/>
    <col min="7421" max="7421" width="76.33203125" style="259" customWidth="1"/>
    <col min="7422" max="7422" width="7.6640625" style="259" customWidth="1"/>
    <col min="7423" max="7423" width="9.6640625" style="259" customWidth="1"/>
    <col min="7424" max="7424" width="7.6640625" style="259" customWidth="1"/>
    <col min="7425" max="7425" width="14.33203125" style="259" customWidth="1"/>
    <col min="7426" max="7676" width="9.109375" style="259"/>
    <col min="7677" max="7677" width="76.33203125" style="259" customWidth="1"/>
    <col min="7678" max="7678" width="7.6640625" style="259" customWidth="1"/>
    <col min="7679" max="7679" width="9.6640625" style="259" customWidth="1"/>
    <col min="7680" max="7680" width="7.6640625" style="259" customWidth="1"/>
    <col min="7681" max="7681" width="14.33203125" style="259" customWidth="1"/>
    <col min="7682" max="7932" width="9.109375" style="259"/>
    <col min="7933" max="7933" width="76.33203125" style="259" customWidth="1"/>
    <col min="7934" max="7934" width="7.6640625" style="259" customWidth="1"/>
    <col min="7935" max="7935" width="9.6640625" style="259" customWidth="1"/>
    <col min="7936" max="7936" width="7.6640625" style="259" customWidth="1"/>
    <col min="7937" max="7937" width="14.33203125" style="259" customWidth="1"/>
    <col min="7938" max="8188" width="9.109375" style="259"/>
    <col min="8189" max="8189" width="76.33203125" style="259" customWidth="1"/>
    <col min="8190" max="8190" width="7.6640625" style="259" customWidth="1"/>
    <col min="8191" max="8191" width="9.6640625" style="259" customWidth="1"/>
    <col min="8192" max="8192" width="7.6640625" style="259" customWidth="1"/>
    <col min="8193" max="8193" width="14.33203125" style="259" customWidth="1"/>
    <col min="8194" max="8444" width="9.109375" style="259"/>
    <col min="8445" max="8445" width="76.33203125" style="259" customWidth="1"/>
    <col min="8446" max="8446" width="7.6640625" style="259" customWidth="1"/>
    <col min="8447" max="8447" width="9.6640625" style="259" customWidth="1"/>
    <col min="8448" max="8448" width="7.6640625" style="259" customWidth="1"/>
    <col min="8449" max="8449" width="14.33203125" style="259" customWidth="1"/>
    <col min="8450" max="8700" width="9.109375" style="259"/>
    <col min="8701" max="8701" width="76.33203125" style="259" customWidth="1"/>
    <col min="8702" max="8702" width="7.6640625" style="259" customWidth="1"/>
    <col min="8703" max="8703" width="9.6640625" style="259" customWidth="1"/>
    <col min="8704" max="8704" width="7.6640625" style="259" customWidth="1"/>
    <col min="8705" max="8705" width="14.33203125" style="259" customWidth="1"/>
    <col min="8706" max="8956" width="9.109375" style="259"/>
    <col min="8957" max="8957" width="76.33203125" style="259" customWidth="1"/>
    <col min="8958" max="8958" width="7.6640625" style="259" customWidth="1"/>
    <col min="8959" max="8959" width="9.6640625" style="259" customWidth="1"/>
    <col min="8960" max="8960" width="7.6640625" style="259" customWidth="1"/>
    <col min="8961" max="8961" width="14.33203125" style="259" customWidth="1"/>
    <col min="8962" max="9212" width="9.109375" style="259"/>
    <col min="9213" max="9213" width="76.33203125" style="259" customWidth="1"/>
    <col min="9214" max="9214" width="7.6640625" style="259" customWidth="1"/>
    <col min="9215" max="9215" width="9.6640625" style="259" customWidth="1"/>
    <col min="9216" max="9216" width="7.6640625" style="259" customWidth="1"/>
    <col min="9217" max="9217" width="14.33203125" style="259" customWidth="1"/>
    <col min="9218" max="9468" width="9.109375" style="259"/>
    <col min="9469" max="9469" width="76.33203125" style="259" customWidth="1"/>
    <col min="9470" max="9470" width="7.6640625" style="259" customWidth="1"/>
    <col min="9471" max="9471" width="9.6640625" style="259" customWidth="1"/>
    <col min="9472" max="9472" width="7.6640625" style="259" customWidth="1"/>
    <col min="9473" max="9473" width="14.33203125" style="259" customWidth="1"/>
    <col min="9474" max="9724" width="9.109375" style="259"/>
    <col min="9725" max="9725" width="76.33203125" style="259" customWidth="1"/>
    <col min="9726" max="9726" width="7.6640625" style="259" customWidth="1"/>
    <col min="9727" max="9727" width="9.6640625" style="259" customWidth="1"/>
    <col min="9728" max="9728" width="7.6640625" style="259" customWidth="1"/>
    <col min="9729" max="9729" width="14.33203125" style="259" customWidth="1"/>
    <col min="9730" max="9980" width="9.109375" style="259"/>
    <col min="9981" max="9981" width="76.33203125" style="259" customWidth="1"/>
    <col min="9982" max="9982" width="7.6640625" style="259" customWidth="1"/>
    <col min="9983" max="9983" width="9.6640625" style="259" customWidth="1"/>
    <col min="9984" max="9984" width="7.6640625" style="259" customWidth="1"/>
    <col min="9985" max="9985" width="14.33203125" style="259" customWidth="1"/>
    <col min="9986" max="10236" width="9.109375" style="259"/>
    <col min="10237" max="10237" width="76.33203125" style="259" customWidth="1"/>
    <col min="10238" max="10238" width="7.6640625" style="259" customWidth="1"/>
    <col min="10239" max="10239" width="9.6640625" style="259" customWidth="1"/>
    <col min="10240" max="10240" width="7.6640625" style="259" customWidth="1"/>
    <col min="10241" max="10241" width="14.33203125" style="259" customWidth="1"/>
    <col min="10242" max="10492" width="9.109375" style="259"/>
    <col min="10493" max="10493" width="76.33203125" style="259" customWidth="1"/>
    <col min="10494" max="10494" width="7.6640625" style="259" customWidth="1"/>
    <col min="10495" max="10495" width="9.6640625" style="259" customWidth="1"/>
    <col min="10496" max="10496" width="7.6640625" style="259" customWidth="1"/>
    <col min="10497" max="10497" width="14.33203125" style="259" customWidth="1"/>
    <col min="10498" max="10748" width="9.109375" style="259"/>
    <col min="10749" max="10749" width="76.33203125" style="259" customWidth="1"/>
    <col min="10750" max="10750" width="7.6640625" style="259" customWidth="1"/>
    <col min="10751" max="10751" width="9.6640625" style="259" customWidth="1"/>
    <col min="10752" max="10752" width="7.6640625" style="259" customWidth="1"/>
    <col min="10753" max="10753" width="14.33203125" style="259" customWidth="1"/>
    <col min="10754" max="11004" width="9.109375" style="259"/>
    <col min="11005" max="11005" width="76.33203125" style="259" customWidth="1"/>
    <col min="11006" max="11006" width="7.6640625" style="259" customWidth="1"/>
    <col min="11007" max="11007" width="9.6640625" style="259" customWidth="1"/>
    <col min="11008" max="11008" width="7.6640625" style="259" customWidth="1"/>
    <col min="11009" max="11009" width="14.33203125" style="259" customWidth="1"/>
    <col min="11010" max="11260" width="9.109375" style="259"/>
    <col min="11261" max="11261" width="76.33203125" style="259" customWidth="1"/>
    <col min="11262" max="11262" width="7.6640625" style="259" customWidth="1"/>
    <col min="11263" max="11263" width="9.6640625" style="259" customWidth="1"/>
    <col min="11264" max="11264" width="7.6640625" style="259" customWidth="1"/>
    <col min="11265" max="11265" width="14.33203125" style="259" customWidth="1"/>
    <col min="11266" max="11516" width="9.109375" style="259"/>
    <col min="11517" max="11517" width="76.33203125" style="259" customWidth="1"/>
    <col min="11518" max="11518" width="7.6640625" style="259" customWidth="1"/>
    <col min="11519" max="11519" width="9.6640625" style="259" customWidth="1"/>
    <col min="11520" max="11520" width="7.6640625" style="259" customWidth="1"/>
    <col min="11521" max="11521" width="14.33203125" style="259" customWidth="1"/>
    <col min="11522" max="11772" width="9.109375" style="259"/>
    <col min="11773" max="11773" width="76.33203125" style="259" customWidth="1"/>
    <col min="11774" max="11774" width="7.6640625" style="259" customWidth="1"/>
    <col min="11775" max="11775" width="9.6640625" style="259" customWidth="1"/>
    <col min="11776" max="11776" width="7.6640625" style="259" customWidth="1"/>
    <col min="11777" max="11777" width="14.33203125" style="259" customWidth="1"/>
    <col min="11778" max="12028" width="9.109375" style="259"/>
    <col min="12029" max="12029" width="76.33203125" style="259" customWidth="1"/>
    <col min="12030" max="12030" width="7.6640625" style="259" customWidth="1"/>
    <col min="12031" max="12031" width="9.6640625" style="259" customWidth="1"/>
    <col min="12032" max="12032" width="7.6640625" style="259" customWidth="1"/>
    <col min="12033" max="12033" width="14.33203125" style="259" customWidth="1"/>
    <col min="12034" max="12284" width="9.109375" style="259"/>
    <col min="12285" max="12285" width="76.33203125" style="259" customWidth="1"/>
    <col min="12286" max="12286" width="7.6640625" style="259" customWidth="1"/>
    <col min="12287" max="12287" width="9.6640625" style="259" customWidth="1"/>
    <col min="12288" max="12288" width="7.6640625" style="259" customWidth="1"/>
    <col min="12289" max="12289" width="14.33203125" style="259" customWidth="1"/>
    <col min="12290" max="12540" width="9.109375" style="259"/>
    <col min="12541" max="12541" width="76.33203125" style="259" customWidth="1"/>
    <col min="12542" max="12542" width="7.6640625" style="259" customWidth="1"/>
    <col min="12543" max="12543" width="9.6640625" style="259" customWidth="1"/>
    <col min="12544" max="12544" width="7.6640625" style="259" customWidth="1"/>
    <col min="12545" max="12545" width="14.33203125" style="259" customWidth="1"/>
    <col min="12546" max="12796" width="9.109375" style="259"/>
    <col min="12797" max="12797" width="76.33203125" style="259" customWidth="1"/>
    <col min="12798" max="12798" width="7.6640625" style="259" customWidth="1"/>
    <col min="12799" max="12799" width="9.6640625" style="259" customWidth="1"/>
    <col min="12800" max="12800" width="7.6640625" style="259" customWidth="1"/>
    <col min="12801" max="12801" width="14.33203125" style="259" customWidth="1"/>
    <col min="12802" max="13052" width="9.109375" style="259"/>
    <col min="13053" max="13053" width="76.33203125" style="259" customWidth="1"/>
    <col min="13054" max="13054" width="7.6640625" style="259" customWidth="1"/>
    <col min="13055" max="13055" width="9.6640625" style="259" customWidth="1"/>
    <col min="13056" max="13056" width="7.6640625" style="259" customWidth="1"/>
    <col min="13057" max="13057" width="14.33203125" style="259" customWidth="1"/>
    <col min="13058" max="13308" width="9.109375" style="259"/>
    <col min="13309" max="13309" width="76.33203125" style="259" customWidth="1"/>
    <col min="13310" max="13310" width="7.6640625" style="259" customWidth="1"/>
    <col min="13311" max="13311" width="9.6640625" style="259" customWidth="1"/>
    <col min="13312" max="13312" width="7.6640625" style="259" customWidth="1"/>
    <col min="13313" max="13313" width="14.33203125" style="259" customWidth="1"/>
    <col min="13314" max="13564" width="9.109375" style="259"/>
    <col min="13565" max="13565" width="76.33203125" style="259" customWidth="1"/>
    <col min="13566" max="13566" width="7.6640625" style="259" customWidth="1"/>
    <col min="13567" max="13567" width="9.6640625" style="259" customWidth="1"/>
    <col min="13568" max="13568" width="7.6640625" style="259" customWidth="1"/>
    <col min="13569" max="13569" width="14.33203125" style="259" customWidth="1"/>
    <col min="13570" max="13820" width="9.109375" style="259"/>
    <col min="13821" max="13821" width="76.33203125" style="259" customWidth="1"/>
    <col min="13822" max="13822" width="7.6640625" style="259" customWidth="1"/>
    <col min="13823" max="13823" width="9.6640625" style="259" customWidth="1"/>
    <col min="13824" max="13824" width="7.6640625" style="259" customWidth="1"/>
    <col min="13825" max="13825" width="14.33203125" style="259" customWidth="1"/>
    <col min="13826" max="14076" width="9.109375" style="259"/>
    <col min="14077" max="14077" width="76.33203125" style="259" customWidth="1"/>
    <col min="14078" max="14078" width="7.6640625" style="259" customWidth="1"/>
    <col min="14079" max="14079" width="9.6640625" style="259" customWidth="1"/>
    <col min="14080" max="14080" width="7.6640625" style="259" customWidth="1"/>
    <col min="14081" max="14081" width="14.33203125" style="259" customWidth="1"/>
    <col min="14082" max="14332" width="9.109375" style="259"/>
    <col min="14333" max="14333" width="76.33203125" style="259" customWidth="1"/>
    <col min="14334" max="14334" width="7.6640625" style="259" customWidth="1"/>
    <col min="14335" max="14335" width="9.6640625" style="259" customWidth="1"/>
    <col min="14336" max="14336" width="7.6640625" style="259" customWidth="1"/>
    <col min="14337" max="14337" width="14.33203125" style="259" customWidth="1"/>
    <col min="14338" max="14588" width="9.109375" style="259"/>
    <col min="14589" max="14589" width="76.33203125" style="259" customWidth="1"/>
    <col min="14590" max="14590" width="7.6640625" style="259" customWidth="1"/>
    <col min="14591" max="14591" width="9.6640625" style="259" customWidth="1"/>
    <col min="14592" max="14592" width="7.6640625" style="259" customWidth="1"/>
    <col min="14593" max="14593" width="14.33203125" style="259" customWidth="1"/>
    <col min="14594" max="14844" width="9.109375" style="259"/>
    <col min="14845" max="14845" width="76.33203125" style="259" customWidth="1"/>
    <col min="14846" max="14846" width="7.6640625" style="259" customWidth="1"/>
    <col min="14847" max="14847" width="9.6640625" style="259" customWidth="1"/>
    <col min="14848" max="14848" width="7.6640625" style="259" customWidth="1"/>
    <col min="14849" max="14849" width="14.33203125" style="259" customWidth="1"/>
    <col min="14850" max="15100" width="9.109375" style="259"/>
    <col min="15101" max="15101" width="76.33203125" style="259" customWidth="1"/>
    <col min="15102" max="15102" width="7.6640625" style="259" customWidth="1"/>
    <col min="15103" max="15103" width="9.6640625" style="259" customWidth="1"/>
    <col min="15104" max="15104" width="7.6640625" style="259" customWidth="1"/>
    <col min="15105" max="15105" width="14.33203125" style="259" customWidth="1"/>
    <col min="15106" max="15356" width="9.109375" style="259"/>
    <col min="15357" max="15357" width="76.33203125" style="259" customWidth="1"/>
    <col min="15358" max="15358" width="7.6640625" style="259" customWidth="1"/>
    <col min="15359" max="15359" width="9.6640625" style="259" customWidth="1"/>
    <col min="15360" max="15360" width="7.6640625" style="259" customWidth="1"/>
    <col min="15361" max="15361" width="14.33203125" style="259" customWidth="1"/>
    <col min="15362" max="15612" width="9.109375" style="259"/>
    <col min="15613" max="15613" width="76.33203125" style="259" customWidth="1"/>
    <col min="15614" max="15614" width="7.6640625" style="259" customWidth="1"/>
    <col min="15615" max="15615" width="9.6640625" style="259" customWidth="1"/>
    <col min="15616" max="15616" width="7.6640625" style="259" customWidth="1"/>
    <col min="15617" max="15617" width="14.33203125" style="259" customWidth="1"/>
    <col min="15618" max="15868" width="9.109375" style="259"/>
    <col min="15869" max="15869" width="76.33203125" style="259" customWidth="1"/>
    <col min="15870" max="15870" width="7.6640625" style="259" customWidth="1"/>
    <col min="15871" max="15871" width="9.6640625" style="259" customWidth="1"/>
    <col min="15872" max="15872" width="7.6640625" style="259" customWidth="1"/>
    <col min="15873" max="15873" width="14.33203125" style="259" customWidth="1"/>
    <col min="15874" max="16124" width="9.109375" style="259"/>
    <col min="16125" max="16125" width="76.33203125" style="259" customWidth="1"/>
    <col min="16126" max="16126" width="7.6640625" style="259" customWidth="1"/>
    <col min="16127" max="16127" width="9.6640625" style="259" customWidth="1"/>
    <col min="16128" max="16128" width="7.6640625" style="259" customWidth="1"/>
    <col min="16129" max="16129" width="14.33203125" style="259" customWidth="1"/>
    <col min="16130" max="16384" width="9.109375" style="259"/>
  </cols>
  <sheetData>
    <row r="1" spans="1:7">
      <c r="B1" s="14"/>
      <c r="C1" s="350" t="s">
        <v>955</v>
      </c>
      <c r="D1" s="350"/>
      <c r="E1" s="350"/>
    </row>
    <row r="2" spans="1:7">
      <c r="A2" s="350" t="s">
        <v>933</v>
      </c>
      <c r="B2" s="350"/>
      <c r="C2" s="350"/>
      <c r="D2" s="350"/>
      <c r="E2" s="350"/>
    </row>
    <row r="3" spans="1:7">
      <c r="B3" s="350" t="s">
        <v>940</v>
      </c>
      <c r="C3" s="350"/>
      <c r="D3" s="350"/>
      <c r="E3" s="350"/>
    </row>
    <row r="4" spans="1:7">
      <c r="B4" s="14"/>
      <c r="C4" s="350" t="s">
        <v>947</v>
      </c>
      <c r="D4" s="350"/>
      <c r="E4" s="350"/>
    </row>
    <row r="5" spans="1:7">
      <c r="E5" s="336" t="s">
        <v>255</v>
      </c>
    </row>
    <row r="6" spans="1:7">
      <c r="E6" s="336" t="s">
        <v>933</v>
      </c>
    </row>
    <row r="7" spans="1:7">
      <c r="E7" s="336" t="s">
        <v>664</v>
      </c>
    </row>
    <row r="8" spans="1:7">
      <c r="E8" s="344" t="s">
        <v>937</v>
      </c>
    </row>
    <row r="9" spans="1:7">
      <c r="A9" s="370" t="s">
        <v>196</v>
      </c>
      <c r="B9" s="371"/>
      <c r="C9" s="371"/>
      <c r="D9" s="371"/>
      <c r="E9" s="371"/>
    </row>
    <row r="10" spans="1:7">
      <c r="A10" s="363" t="s">
        <v>789</v>
      </c>
      <c r="B10" s="372"/>
      <c r="C10" s="372"/>
      <c r="D10" s="372"/>
      <c r="E10" s="372"/>
    </row>
    <row r="11" spans="1:7">
      <c r="A11" s="363" t="s">
        <v>713</v>
      </c>
      <c r="B11" s="363"/>
      <c r="C11" s="363"/>
      <c r="D11" s="363"/>
      <c r="E11" s="363"/>
    </row>
    <row r="12" spans="1:7">
      <c r="A12" s="363" t="s">
        <v>258</v>
      </c>
      <c r="B12" s="363"/>
      <c r="C12" s="363"/>
      <c r="D12" s="363"/>
      <c r="E12" s="363"/>
    </row>
    <row r="13" spans="1:7">
      <c r="A13" s="363" t="s">
        <v>259</v>
      </c>
      <c r="B13" s="363"/>
      <c r="C13" s="363"/>
      <c r="D13" s="363"/>
      <c r="E13" s="363"/>
    </row>
    <row r="14" spans="1:7">
      <c r="A14" s="337"/>
      <c r="B14" s="284"/>
      <c r="C14" s="284"/>
      <c r="D14" s="284"/>
      <c r="E14" s="285" t="s">
        <v>408</v>
      </c>
    </row>
    <row r="15" spans="1:7">
      <c r="A15" s="262" t="s">
        <v>0</v>
      </c>
      <c r="B15" s="262" t="s">
        <v>2</v>
      </c>
      <c r="C15" s="262" t="s">
        <v>3</v>
      </c>
      <c r="D15" s="262" t="s">
        <v>4</v>
      </c>
      <c r="E15" s="262" t="s">
        <v>197</v>
      </c>
    </row>
    <row r="16" spans="1:7" s="264" customFormat="1">
      <c r="A16" s="164" t="s">
        <v>7</v>
      </c>
      <c r="B16" s="192" t="s">
        <v>8</v>
      </c>
      <c r="C16" s="192" t="s">
        <v>126</v>
      </c>
      <c r="D16" s="192" t="s">
        <v>6</v>
      </c>
      <c r="E16" s="215">
        <f>E17+E22+E44+E37+E50+E70+E65</f>
        <v>115047668.33000001</v>
      </c>
      <c r="G16" s="263">
        <f>E16/'прил 11 '!F687*100</f>
        <v>11.979945545788592</v>
      </c>
    </row>
    <row r="17" spans="1:5" ht="36" outlineLevel="1">
      <c r="A17" s="164" t="s">
        <v>28</v>
      </c>
      <c r="B17" s="163" t="s">
        <v>29</v>
      </c>
      <c r="C17" s="163" t="s">
        <v>126</v>
      </c>
      <c r="D17" s="163" t="s">
        <v>6</v>
      </c>
      <c r="E17" s="167">
        <f>E18</f>
        <v>2681000</v>
      </c>
    </row>
    <row r="18" spans="1:5" outlineLevel="2">
      <c r="A18" s="164" t="s">
        <v>198</v>
      </c>
      <c r="B18" s="163" t="s">
        <v>29</v>
      </c>
      <c r="C18" s="163" t="s">
        <v>127</v>
      </c>
      <c r="D18" s="163" t="s">
        <v>6</v>
      </c>
      <c r="E18" s="167">
        <f>E19</f>
        <v>2681000</v>
      </c>
    </row>
    <row r="19" spans="1:5" outlineLevel="4">
      <c r="A19" s="164" t="s">
        <v>500</v>
      </c>
      <c r="B19" s="163" t="s">
        <v>29</v>
      </c>
      <c r="C19" s="163" t="s">
        <v>501</v>
      </c>
      <c r="D19" s="163" t="s">
        <v>6</v>
      </c>
      <c r="E19" s="167">
        <f>E20</f>
        <v>2681000</v>
      </c>
    </row>
    <row r="20" spans="1:5" ht="56.25" customHeight="1" outlineLevel="5">
      <c r="A20" s="164" t="s">
        <v>11</v>
      </c>
      <c r="B20" s="163" t="s">
        <v>29</v>
      </c>
      <c r="C20" s="163" t="s">
        <v>501</v>
      </c>
      <c r="D20" s="163" t="s">
        <v>12</v>
      </c>
      <c r="E20" s="167">
        <f>E21</f>
        <v>2681000</v>
      </c>
    </row>
    <row r="21" spans="1:5" ht="18" customHeight="1" outlineLevel="6">
      <c r="A21" s="164" t="s">
        <v>13</v>
      </c>
      <c r="B21" s="163" t="s">
        <v>29</v>
      </c>
      <c r="C21" s="163" t="s">
        <v>501</v>
      </c>
      <c r="D21" s="163" t="s">
        <v>14</v>
      </c>
      <c r="E21" s="167">
        <f>'прил 11 '!F42</f>
        <v>2681000</v>
      </c>
    </row>
    <row r="22" spans="1:5" ht="38.25" customHeight="1" outlineLevel="1">
      <c r="A22" s="164" t="s">
        <v>108</v>
      </c>
      <c r="B22" s="163" t="s">
        <v>109</v>
      </c>
      <c r="C22" s="163" t="s">
        <v>126</v>
      </c>
      <c r="D22" s="163" t="s">
        <v>6</v>
      </c>
      <c r="E22" s="167">
        <f>E23</f>
        <v>5466790.29</v>
      </c>
    </row>
    <row r="23" spans="1:5" outlineLevel="3">
      <c r="A23" s="164" t="s">
        <v>198</v>
      </c>
      <c r="B23" s="163" t="s">
        <v>109</v>
      </c>
      <c r="C23" s="163" t="s">
        <v>127</v>
      </c>
      <c r="D23" s="163" t="s">
        <v>6</v>
      </c>
      <c r="E23" s="167">
        <f>E24+E27+E34</f>
        <v>5466790.29</v>
      </c>
    </row>
    <row r="24" spans="1:5" ht="23.25" customHeight="1" outlineLevel="4">
      <c r="A24" s="164" t="s">
        <v>532</v>
      </c>
      <c r="B24" s="163" t="s">
        <v>109</v>
      </c>
      <c r="C24" s="163" t="s">
        <v>533</v>
      </c>
      <c r="D24" s="163" t="s">
        <v>6</v>
      </c>
      <c r="E24" s="167">
        <f>E25</f>
        <v>2517857.96</v>
      </c>
    </row>
    <row r="25" spans="1:5" ht="57.15" customHeight="1" outlineLevel="5">
      <c r="A25" s="164" t="s">
        <v>11</v>
      </c>
      <c r="B25" s="163" t="s">
        <v>109</v>
      </c>
      <c r="C25" s="163" t="s">
        <v>533</v>
      </c>
      <c r="D25" s="163" t="s">
        <v>12</v>
      </c>
      <c r="E25" s="167">
        <f>E26</f>
        <v>2517857.96</v>
      </c>
    </row>
    <row r="26" spans="1:5" ht="16.5" customHeight="1" outlineLevel="6">
      <c r="A26" s="164" t="s">
        <v>13</v>
      </c>
      <c r="B26" s="163" t="s">
        <v>109</v>
      </c>
      <c r="C26" s="163" t="s">
        <v>533</v>
      </c>
      <c r="D26" s="163" t="s">
        <v>14</v>
      </c>
      <c r="E26" s="167">
        <f>'прил 11 '!F472</f>
        <v>2517857.96</v>
      </c>
    </row>
    <row r="27" spans="1:5" ht="38.25" customHeight="1" outlineLevel="4">
      <c r="A27" s="164" t="s">
        <v>498</v>
      </c>
      <c r="B27" s="163" t="s">
        <v>109</v>
      </c>
      <c r="C27" s="163" t="s">
        <v>499</v>
      </c>
      <c r="D27" s="163" t="s">
        <v>6</v>
      </c>
      <c r="E27" s="167">
        <f>E28+E30+E32</f>
        <v>2768932.33</v>
      </c>
    </row>
    <row r="28" spans="1:5" ht="72" outlineLevel="5">
      <c r="A28" s="164" t="s">
        <v>11</v>
      </c>
      <c r="B28" s="163" t="s">
        <v>109</v>
      </c>
      <c r="C28" s="163" t="s">
        <v>499</v>
      </c>
      <c r="D28" s="163" t="s">
        <v>12</v>
      </c>
      <c r="E28" s="167">
        <f>E29</f>
        <v>2517432.33</v>
      </c>
    </row>
    <row r="29" spans="1:5" ht="16.5" customHeight="1" outlineLevel="6">
      <c r="A29" s="164" t="s">
        <v>13</v>
      </c>
      <c r="B29" s="163" t="s">
        <v>109</v>
      </c>
      <c r="C29" s="163" t="s">
        <v>499</v>
      </c>
      <c r="D29" s="163" t="s">
        <v>14</v>
      </c>
      <c r="E29" s="167">
        <f>'прил 11 '!F475</f>
        <v>2517432.33</v>
      </c>
    </row>
    <row r="30" spans="1:5" ht="16.5" customHeight="1" outlineLevel="5">
      <c r="A30" s="164" t="s">
        <v>15</v>
      </c>
      <c r="B30" s="163" t="s">
        <v>109</v>
      </c>
      <c r="C30" s="163" t="s">
        <v>499</v>
      </c>
      <c r="D30" s="163" t="s">
        <v>16</v>
      </c>
      <c r="E30" s="167">
        <f>E31</f>
        <v>246000</v>
      </c>
    </row>
    <row r="31" spans="1:5" ht="21.15" customHeight="1" outlineLevel="6">
      <c r="A31" s="164" t="s">
        <v>17</v>
      </c>
      <c r="B31" s="163" t="s">
        <v>109</v>
      </c>
      <c r="C31" s="163" t="s">
        <v>499</v>
      </c>
      <c r="D31" s="163" t="s">
        <v>18</v>
      </c>
      <c r="E31" s="167">
        <f>'прил 11 '!F477</f>
        <v>246000</v>
      </c>
    </row>
    <row r="32" spans="1:5" outlineLevel="5">
      <c r="A32" s="164" t="s">
        <v>19</v>
      </c>
      <c r="B32" s="163" t="s">
        <v>109</v>
      </c>
      <c r="C32" s="163" t="s">
        <v>499</v>
      </c>
      <c r="D32" s="163" t="s">
        <v>20</v>
      </c>
      <c r="E32" s="167">
        <f>E33</f>
        <v>5500</v>
      </c>
    </row>
    <row r="33" spans="1:5" outlineLevel="6">
      <c r="A33" s="164" t="s">
        <v>21</v>
      </c>
      <c r="B33" s="163" t="s">
        <v>109</v>
      </c>
      <c r="C33" s="163" t="s">
        <v>499</v>
      </c>
      <c r="D33" s="163" t="s">
        <v>22</v>
      </c>
      <c r="E33" s="167">
        <f>'прил 11 '!F479</f>
        <v>5500</v>
      </c>
    </row>
    <row r="34" spans="1:5" outlineLevel="4">
      <c r="A34" s="164" t="s">
        <v>535</v>
      </c>
      <c r="B34" s="163" t="s">
        <v>109</v>
      </c>
      <c r="C34" s="163" t="s">
        <v>534</v>
      </c>
      <c r="D34" s="163" t="s">
        <v>6</v>
      </c>
      <c r="E34" s="167">
        <f>E35</f>
        <v>180000</v>
      </c>
    </row>
    <row r="35" spans="1:5" ht="57.15" customHeight="1" outlineLevel="5">
      <c r="A35" s="164" t="s">
        <v>11</v>
      </c>
      <c r="B35" s="163" t="s">
        <v>109</v>
      </c>
      <c r="C35" s="163" t="s">
        <v>534</v>
      </c>
      <c r="D35" s="163" t="s">
        <v>12</v>
      </c>
      <c r="E35" s="167">
        <f>E36</f>
        <v>180000</v>
      </c>
    </row>
    <row r="36" spans="1:5" ht="18" customHeight="1" outlineLevel="6">
      <c r="A36" s="164" t="s">
        <v>13</v>
      </c>
      <c r="B36" s="163" t="s">
        <v>109</v>
      </c>
      <c r="C36" s="163" t="s">
        <v>534</v>
      </c>
      <c r="D36" s="163" t="s">
        <v>14</v>
      </c>
      <c r="E36" s="167">
        <f>'прил 11 '!F482</f>
        <v>180000</v>
      </c>
    </row>
    <row r="37" spans="1:5" ht="39.75" customHeight="1" outlineLevel="1">
      <c r="A37" s="164" t="s">
        <v>30</v>
      </c>
      <c r="B37" s="163" t="s">
        <v>31</v>
      </c>
      <c r="C37" s="163" t="s">
        <v>126</v>
      </c>
      <c r="D37" s="163" t="s">
        <v>6</v>
      </c>
      <c r="E37" s="167">
        <f>E38</f>
        <v>21826602</v>
      </c>
    </row>
    <row r="38" spans="1:5" outlineLevel="3">
      <c r="A38" s="164" t="s">
        <v>198</v>
      </c>
      <c r="B38" s="163" t="s">
        <v>31</v>
      </c>
      <c r="C38" s="163" t="s">
        <v>127</v>
      </c>
      <c r="D38" s="163" t="s">
        <v>6</v>
      </c>
      <c r="E38" s="167">
        <f>E39</f>
        <v>21826602</v>
      </c>
    </row>
    <row r="39" spans="1:5" ht="39.15" customHeight="1" outlineLevel="4">
      <c r="A39" s="164" t="s">
        <v>498</v>
      </c>
      <c r="B39" s="163" t="s">
        <v>31</v>
      </c>
      <c r="C39" s="163" t="s">
        <v>499</v>
      </c>
      <c r="D39" s="163" t="s">
        <v>6</v>
      </c>
      <c r="E39" s="167">
        <f>E40+E42</f>
        <v>21826602</v>
      </c>
    </row>
    <row r="40" spans="1:5" ht="38.25" customHeight="1" outlineLevel="5">
      <c r="A40" s="164" t="s">
        <v>11</v>
      </c>
      <c r="B40" s="163" t="s">
        <v>31</v>
      </c>
      <c r="C40" s="163" t="s">
        <v>499</v>
      </c>
      <c r="D40" s="163" t="s">
        <v>12</v>
      </c>
      <c r="E40" s="167">
        <f>E41</f>
        <v>21734602</v>
      </c>
    </row>
    <row r="41" spans="1:5" ht="17.399999999999999" customHeight="1" outlineLevel="6">
      <c r="A41" s="164" t="s">
        <v>13</v>
      </c>
      <c r="B41" s="163" t="s">
        <v>31</v>
      </c>
      <c r="C41" s="163" t="s">
        <v>499</v>
      </c>
      <c r="D41" s="163" t="s">
        <v>14</v>
      </c>
      <c r="E41" s="167">
        <f>'прил 11 '!F47</f>
        <v>21734602</v>
      </c>
    </row>
    <row r="42" spans="1:5" ht="17.399999999999999" customHeight="1" outlineLevel="5">
      <c r="A42" s="164" t="s">
        <v>15</v>
      </c>
      <c r="B42" s="163" t="s">
        <v>31</v>
      </c>
      <c r="C42" s="163" t="s">
        <v>499</v>
      </c>
      <c r="D42" s="163" t="s">
        <v>16</v>
      </c>
      <c r="E42" s="167">
        <f>E43</f>
        <v>92000</v>
      </c>
    </row>
    <row r="43" spans="1:5" ht="20.25" customHeight="1" outlineLevel="6">
      <c r="A43" s="164" t="s">
        <v>17</v>
      </c>
      <c r="B43" s="163" t="s">
        <v>31</v>
      </c>
      <c r="C43" s="163" t="s">
        <v>499</v>
      </c>
      <c r="D43" s="163" t="s">
        <v>18</v>
      </c>
      <c r="E43" s="167">
        <f>'прил 11 '!F49</f>
        <v>92000</v>
      </c>
    </row>
    <row r="44" spans="1:5" outlineLevel="6">
      <c r="A44" s="164" t="s">
        <v>260</v>
      </c>
      <c r="B44" s="163" t="s">
        <v>261</v>
      </c>
      <c r="C44" s="163" t="s">
        <v>126</v>
      </c>
      <c r="D44" s="163" t="s">
        <v>6</v>
      </c>
      <c r="E44" s="167">
        <f>E45</f>
        <v>219244</v>
      </c>
    </row>
    <row r="45" spans="1:5" ht="22.65" customHeight="1" outlineLevel="6">
      <c r="A45" s="164" t="s">
        <v>132</v>
      </c>
      <c r="B45" s="163" t="s">
        <v>261</v>
      </c>
      <c r="C45" s="163" t="s">
        <v>127</v>
      </c>
      <c r="D45" s="163" t="s">
        <v>6</v>
      </c>
      <c r="E45" s="167">
        <f>E46</f>
        <v>219244</v>
      </c>
    </row>
    <row r="46" spans="1:5" outlineLevel="6">
      <c r="A46" s="164" t="s">
        <v>277</v>
      </c>
      <c r="B46" s="163" t="s">
        <v>261</v>
      </c>
      <c r="C46" s="163" t="s">
        <v>276</v>
      </c>
      <c r="D46" s="163" t="s">
        <v>6</v>
      </c>
      <c r="E46" s="167">
        <f>E47</f>
        <v>219244</v>
      </c>
    </row>
    <row r="47" spans="1:5" ht="90" outlineLevel="6">
      <c r="A47" s="164" t="s">
        <v>410</v>
      </c>
      <c r="B47" s="163" t="s">
        <v>261</v>
      </c>
      <c r="C47" s="163" t="s">
        <v>285</v>
      </c>
      <c r="D47" s="163" t="s">
        <v>6</v>
      </c>
      <c r="E47" s="167">
        <f>E48</f>
        <v>219244</v>
      </c>
    </row>
    <row r="48" spans="1:5" ht="23.25" customHeight="1" outlineLevel="6">
      <c r="A48" s="164" t="s">
        <v>15</v>
      </c>
      <c r="B48" s="163" t="s">
        <v>261</v>
      </c>
      <c r="C48" s="163" t="s">
        <v>285</v>
      </c>
      <c r="D48" s="163" t="s">
        <v>16</v>
      </c>
      <c r="E48" s="167">
        <f>E49</f>
        <v>219244</v>
      </c>
    </row>
    <row r="49" spans="1:5" ht="19.5" customHeight="1" outlineLevel="6">
      <c r="A49" s="164" t="s">
        <v>17</v>
      </c>
      <c r="B49" s="163" t="s">
        <v>261</v>
      </c>
      <c r="C49" s="163" t="s">
        <v>285</v>
      </c>
      <c r="D49" s="163" t="s">
        <v>18</v>
      </c>
      <c r="E49" s="167">
        <f>'прил 11 '!F55</f>
        <v>219244</v>
      </c>
    </row>
    <row r="50" spans="1:5" ht="36" customHeight="1" outlineLevel="1">
      <c r="A50" s="164" t="s">
        <v>9</v>
      </c>
      <c r="B50" s="163" t="s">
        <v>10</v>
      </c>
      <c r="C50" s="163" t="s">
        <v>126</v>
      </c>
      <c r="D50" s="163" t="s">
        <v>6</v>
      </c>
      <c r="E50" s="167">
        <f>E51</f>
        <v>9480780.0300000012</v>
      </c>
    </row>
    <row r="51" spans="1:5" outlineLevel="3">
      <c r="A51" s="164" t="s">
        <v>198</v>
      </c>
      <c r="B51" s="163" t="s">
        <v>10</v>
      </c>
      <c r="C51" s="163" t="s">
        <v>127</v>
      </c>
      <c r="D51" s="163" t="s">
        <v>6</v>
      </c>
      <c r="E51" s="167">
        <f>E52+E59+E62</f>
        <v>9480780.0300000012</v>
      </c>
    </row>
    <row r="52" spans="1:5" ht="39.75" customHeight="1" outlineLevel="4">
      <c r="A52" s="164" t="s">
        <v>498</v>
      </c>
      <c r="B52" s="163" t="s">
        <v>10</v>
      </c>
      <c r="C52" s="163" t="s">
        <v>499</v>
      </c>
      <c r="D52" s="163" t="s">
        <v>6</v>
      </c>
      <c r="E52" s="167">
        <f>E53+E55+E57</f>
        <v>7515605.0300000003</v>
      </c>
    </row>
    <row r="53" spans="1:5" ht="77.25" customHeight="1" outlineLevel="5">
      <c r="A53" s="164" t="s">
        <v>11</v>
      </c>
      <c r="B53" s="163" t="s">
        <v>10</v>
      </c>
      <c r="C53" s="163" t="s">
        <v>499</v>
      </c>
      <c r="D53" s="163" t="s">
        <v>12</v>
      </c>
      <c r="E53" s="167">
        <f>E54</f>
        <v>7185405.0300000003</v>
      </c>
    </row>
    <row r="54" spans="1:5" ht="18.75" customHeight="1" outlineLevel="6">
      <c r="A54" s="164" t="s">
        <v>13</v>
      </c>
      <c r="B54" s="163" t="s">
        <v>10</v>
      </c>
      <c r="C54" s="163" t="s">
        <v>499</v>
      </c>
      <c r="D54" s="163" t="s">
        <v>14</v>
      </c>
      <c r="E54" s="167">
        <f>'прил 11 '!F20+'прил 11 '!F684</f>
        <v>7185405.0300000003</v>
      </c>
    </row>
    <row r="55" spans="1:5" ht="18.75" customHeight="1" outlineLevel="5">
      <c r="A55" s="164" t="s">
        <v>15</v>
      </c>
      <c r="B55" s="163" t="s">
        <v>10</v>
      </c>
      <c r="C55" s="163" t="s">
        <v>499</v>
      </c>
      <c r="D55" s="163" t="s">
        <v>16</v>
      </c>
      <c r="E55" s="167">
        <f>E56</f>
        <v>330200</v>
      </c>
    </row>
    <row r="56" spans="1:5" ht="15.75" customHeight="1" outlineLevel="6">
      <c r="A56" s="164" t="s">
        <v>17</v>
      </c>
      <c r="B56" s="163" t="s">
        <v>10</v>
      </c>
      <c r="C56" s="163" t="s">
        <v>499</v>
      </c>
      <c r="D56" s="163" t="s">
        <v>18</v>
      </c>
      <c r="E56" s="167">
        <f>'прил 11 '!F22+'прил 11 '!F686</f>
        <v>330200</v>
      </c>
    </row>
    <row r="57" spans="1:5" hidden="1" outlineLevel="5">
      <c r="A57" s="164" t="s">
        <v>19</v>
      </c>
      <c r="B57" s="163" t="s">
        <v>10</v>
      </c>
      <c r="C57" s="163" t="s">
        <v>499</v>
      </c>
      <c r="D57" s="163" t="s">
        <v>20</v>
      </c>
      <c r="E57" s="167">
        <f>E58</f>
        <v>0</v>
      </c>
    </row>
    <row r="58" spans="1:5" hidden="1" outlineLevel="6">
      <c r="A58" s="164" t="s">
        <v>21</v>
      </c>
      <c r="B58" s="163" t="s">
        <v>10</v>
      </c>
      <c r="C58" s="163" t="s">
        <v>499</v>
      </c>
      <c r="D58" s="163" t="s">
        <v>22</v>
      </c>
      <c r="E58" s="167">
        <f>'прил 11 '!F24</f>
        <v>0</v>
      </c>
    </row>
    <row r="59" spans="1:5" outlineLevel="4" collapsed="1">
      <c r="A59" s="164" t="s">
        <v>199</v>
      </c>
      <c r="B59" s="163" t="s">
        <v>10</v>
      </c>
      <c r="C59" s="163" t="s">
        <v>143</v>
      </c>
      <c r="D59" s="163" t="s">
        <v>6</v>
      </c>
      <c r="E59" s="167">
        <f>E60</f>
        <v>1140000</v>
      </c>
    </row>
    <row r="60" spans="1:5" ht="58.65" customHeight="1" outlineLevel="5">
      <c r="A60" s="164" t="s">
        <v>11</v>
      </c>
      <c r="B60" s="163" t="s">
        <v>10</v>
      </c>
      <c r="C60" s="163" t="s">
        <v>143</v>
      </c>
      <c r="D60" s="163" t="s">
        <v>12</v>
      </c>
      <c r="E60" s="167">
        <f>E61</f>
        <v>1140000</v>
      </c>
    </row>
    <row r="61" spans="1:5" ht="17.399999999999999" customHeight="1" outlineLevel="6">
      <c r="A61" s="164" t="s">
        <v>13</v>
      </c>
      <c r="B61" s="163" t="s">
        <v>10</v>
      </c>
      <c r="C61" s="163" t="s">
        <v>143</v>
      </c>
      <c r="D61" s="163" t="s">
        <v>14</v>
      </c>
      <c r="E61" s="167">
        <f>'прил 11 '!F681</f>
        <v>1140000</v>
      </c>
    </row>
    <row r="62" spans="1:5" ht="19.5" customHeight="1" outlineLevel="4">
      <c r="A62" s="164" t="s">
        <v>502</v>
      </c>
      <c r="B62" s="163" t="s">
        <v>10</v>
      </c>
      <c r="C62" s="163" t="s">
        <v>541</v>
      </c>
      <c r="D62" s="163" t="s">
        <v>6</v>
      </c>
      <c r="E62" s="167">
        <f>E63</f>
        <v>825175</v>
      </c>
    </row>
    <row r="63" spans="1:5" ht="60" customHeight="1" outlineLevel="5">
      <c r="A63" s="164" t="s">
        <v>11</v>
      </c>
      <c r="B63" s="163" t="s">
        <v>10</v>
      </c>
      <c r="C63" s="163" t="s">
        <v>541</v>
      </c>
      <c r="D63" s="163" t="s">
        <v>12</v>
      </c>
      <c r="E63" s="167">
        <f>E64</f>
        <v>825175</v>
      </c>
    </row>
    <row r="64" spans="1:5" ht="19.5" customHeight="1" outlineLevel="6">
      <c r="A64" s="164" t="s">
        <v>13</v>
      </c>
      <c r="B64" s="163" t="s">
        <v>10</v>
      </c>
      <c r="C64" s="163" t="s">
        <v>541</v>
      </c>
      <c r="D64" s="163" t="s">
        <v>14</v>
      </c>
      <c r="E64" s="167">
        <f>'прил 11 '!F60</f>
        <v>825175</v>
      </c>
    </row>
    <row r="65" spans="1:5" ht="19.5" customHeight="1" outlineLevel="6">
      <c r="A65" s="164" t="s">
        <v>709</v>
      </c>
      <c r="B65" s="163" t="s">
        <v>706</v>
      </c>
      <c r="C65" s="163" t="s">
        <v>126</v>
      </c>
      <c r="D65" s="163" t="s">
        <v>6</v>
      </c>
      <c r="E65" s="167">
        <f>E66</f>
        <v>4623452.5900000008</v>
      </c>
    </row>
    <row r="66" spans="1:5" ht="19.5" customHeight="1" outlineLevel="6">
      <c r="A66" s="164" t="s">
        <v>132</v>
      </c>
      <c r="B66" s="163" t="s">
        <v>706</v>
      </c>
      <c r="C66" s="163" t="s">
        <v>127</v>
      </c>
      <c r="D66" s="163" t="s">
        <v>6</v>
      </c>
      <c r="E66" s="167">
        <f>E67</f>
        <v>4623452.5900000008</v>
      </c>
    </row>
    <row r="67" spans="1:5" ht="19.5" customHeight="1" outlineLevel="6">
      <c r="A67" s="164" t="s">
        <v>708</v>
      </c>
      <c r="B67" s="163" t="s">
        <v>706</v>
      </c>
      <c r="C67" s="163" t="s">
        <v>712</v>
      </c>
      <c r="D67" s="163" t="s">
        <v>6</v>
      </c>
      <c r="E67" s="167">
        <f>E68</f>
        <v>4623452.5900000008</v>
      </c>
    </row>
    <row r="68" spans="1:5" ht="19.5" customHeight="1" outlineLevel="6">
      <c r="A68" s="164" t="s">
        <v>19</v>
      </c>
      <c r="B68" s="163" t="s">
        <v>706</v>
      </c>
      <c r="C68" s="163" t="s">
        <v>712</v>
      </c>
      <c r="D68" s="163" t="s">
        <v>20</v>
      </c>
      <c r="E68" s="167">
        <f>E69</f>
        <v>4623452.5900000008</v>
      </c>
    </row>
    <row r="69" spans="1:5" ht="19.5" customHeight="1" outlineLevel="6">
      <c r="A69" s="164" t="s">
        <v>707</v>
      </c>
      <c r="B69" s="163" t="s">
        <v>706</v>
      </c>
      <c r="C69" s="163" t="s">
        <v>712</v>
      </c>
      <c r="D69" s="163" t="s">
        <v>705</v>
      </c>
      <c r="E69" s="167">
        <f>'прил 11 '!F65</f>
        <v>4623452.5900000008</v>
      </c>
    </row>
    <row r="70" spans="1:5" outlineLevel="1">
      <c r="A70" s="164" t="s">
        <v>23</v>
      </c>
      <c r="B70" s="163" t="s">
        <v>24</v>
      </c>
      <c r="C70" s="163" t="s">
        <v>126</v>
      </c>
      <c r="D70" s="163" t="s">
        <v>6</v>
      </c>
      <c r="E70" s="167">
        <f>E71+E96+E101+E109+E116</f>
        <v>70749799.420000002</v>
      </c>
    </row>
    <row r="71" spans="1:5" ht="36" outlineLevel="2">
      <c r="A71" s="196" t="s">
        <v>882</v>
      </c>
      <c r="B71" s="197" t="s">
        <v>24</v>
      </c>
      <c r="C71" s="197" t="s">
        <v>128</v>
      </c>
      <c r="D71" s="197" t="s">
        <v>6</v>
      </c>
      <c r="E71" s="167">
        <f>E72+E79+E87</f>
        <v>23139455</v>
      </c>
    </row>
    <row r="72" spans="1:5" ht="36" outlineLevel="3">
      <c r="A72" s="164" t="s">
        <v>863</v>
      </c>
      <c r="B72" s="163" t="s">
        <v>24</v>
      </c>
      <c r="C72" s="163" t="s">
        <v>315</v>
      </c>
      <c r="D72" s="163" t="s">
        <v>6</v>
      </c>
      <c r="E72" s="167">
        <f>E73+E76</f>
        <v>886905</v>
      </c>
    </row>
    <row r="73" spans="1:5" outlineLevel="4">
      <c r="A73" s="164" t="s">
        <v>321</v>
      </c>
      <c r="B73" s="163" t="s">
        <v>24</v>
      </c>
      <c r="C73" s="163" t="s">
        <v>316</v>
      </c>
      <c r="D73" s="163" t="s">
        <v>6</v>
      </c>
      <c r="E73" s="167">
        <f>E74</f>
        <v>836905</v>
      </c>
    </row>
    <row r="74" spans="1:5" ht="19.5" customHeight="1" outlineLevel="5">
      <c r="A74" s="164" t="s">
        <v>15</v>
      </c>
      <c r="B74" s="163" t="s">
        <v>24</v>
      </c>
      <c r="C74" s="163" t="s">
        <v>316</v>
      </c>
      <c r="D74" s="163" t="s">
        <v>16</v>
      </c>
      <c r="E74" s="167">
        <f>E75</f>
        <v>836905</v>
      </c>
    </row>
    <row r="75" spans="1:5" ht="21.15" customHeight="1" outlineLevel="6">
      <c r="A75" s="164" t="s">
        <v>17</v>
      </c>
      <c r="B75" s="163" t="s">
        <v>24</v>
      </c>
      <c r="C75" s="163" t="s">
        <v>316</v>
      </c>
      <c r="D75" s="163" t="s">
        <v>18</v>
      </c>
      <c r="E75" s="167">
        <f>'прил 11 '!F30+'прил 11 '!F71+'прил 11 '!F493</f>
        <v>836905</v>
      </c>
    </row>
    <row r="76" spans="1:5" outlineLevel="4">
      <c r="A76" s="164" t="s">
        <v>322</v>
      </c>
      <c r="B76" s="163" t="s">
        <v>24</v>
      </c>
      <c r="C76" s="163" t="s">
        <v>323</v>
      </c>
      <c r="D76" s="163" t="s">
        <v>6</v>
      </c>
      <c r="E76" s="167">
        <f>E77</f>
        <v>50000</v>
      </c>
    </row>
    <row r="77" spans="1:5" ht="19.5" customHeight="1" outlineLevel="5">
      <c r="A77" s="164" t="s">
        <v>15</v>
      </c>
      <c r="B77" s="163" t="s">
        <v>24</v>
      </c>
      <c r="C77" s="163" t="s">
        <v>323</v>
      </c>
      <c r="D77" s="163" t="s">
        <v>16</v>
      </c>
      <c r="E77" s="167">
        <f>E78</f>
        <v>50000</v>
      </c>
    </row>
    <row r="78" spans="1:5" ht="20.25" customHeight="1" outlineLevel="6">
      <c r="A78" s="164" t="s">
        <v>17</v>
      </c>
      <c r="B78" s="163" t="s">
        <v>24</v>
      </c>
      <c r="C78" s="163" t="s">
        <v>323</v>
      </c>
      <c r="D78" s="163" t="s">
        <v>18</v>
      </c>
      <c r="E78" s="167">
        <f>'прил 11 '!F74</f>
        <v>50000</v>
      </c>
    </row>
    <row r="79" spans="1:5" ht="36" outlineLevel="6">
      <c r="A79" s="164" t="s">
        <v>216</v>
      </c>
      <c r="B79" s="163" t="s">
        <v>24</v>
      </c>
      <c r="C79" s="163" t="s">
        <v>231</v>
      </c>
      <c r="D79" s="163" t="s">
        <v>6</v>
      </c>
      <c r="E79" s="167">
        <f>E80</f>
        <v>20801450</v>
      </c>
    </row>
    <row r="80" spans="1:5" ht="36" outlineLevel="4">
      <c r="A80" s="164" t="s">
        <v>33</v>
      </c>
      <c r="B80" s="163" t="s">
        <v>24</v>
      </c>
      <c r="C80" s="163" t="s">
        <v>130</v>
      </c>
      <c r="D80" s="163" t="s">
        <v>6</v>
      </c>
      <c r="E80" s="167">
        <f>E81+E83+E85</f>
        <v>20801450</v>
      </c>
    </row>
    <row r="81" spans="1:5" ht="55.5" customHeight="1" outlineLevel="5">
      <c r="A81" s="164" t="s">
        <v>11</v>
      </c>
      <c r="B81" s="163" t="s">
        <v>24</v>
      </c>
      <c r="C81" s="163" t="s">
        <v>130</v>
      </c>
      <c r="D81" s="163" t="s">
        <v>12</v>
      </c>
      <c r="E81" s="167">
        <f>E82</f>
        <v>11000000</v>
      </c>
    </row>
    <row r="82" spans="1:5" outlineLevel="6">
      <c r="A82" s="164" t="s">
        <v>34</v>
      </c>
      <c r="B82" s="163" t="s">
        <v>24</v>
      </c>
      <c r="C82" s="163" t="s">
        <v>130</v>
      </c>
      <c r="D82" s="163" t="s">
        <v>35</v>
      </c>
      <c r="E82" s="167">
        <f>'прил 11 '!F78</f>
        <v>11000000</v>
      </c>
    </row>
    <row r="83" spans="1:5" ht="18.75" customHeight="1" outlineLevel="5">
      <c r="A83" s="164" t="s">
        <v>15</v>
      </c>
      <c r="B83" s="163" t="s">
        <v>24</v>
      </c>
      <c r="C83" s="163" t="s">
        <v>130</v>
      </c>
      <c r="D83" s="163" t="s">
        <v>16</v>
      </c>
      <c r="E83" s="167">
        <f>E84</f>
        <v>9000000</v>
      </c>
    </row>
    <row r="84" spans="1:5" ht="20.25" customHeight="1" outlineLevel="6">
      <c r="A84" s="164" t="s">
        <v>17</v>
      </c>
      <c r="B84" s="163" t="s">
        <v>24</v>
      </c>
      <c r="C84" s="163" t="s">
        <v>130</v>
      </c>
      <c r="D84" s="163" t="s">
        <v>18</v>
      </c>
      <c r="E84" s="167">
        <f>'прил 11 '!F80</f>
        <v>9000000</v>
      </c>
    </row>
    <row r="85" spans="1:5" outlineLevel="5">
      <c r="A85" s="164" t="s">
        <v>19</v>
      </c>
      <c r="B85" s="163" t="s">
        <v>24</v>
      </c>
      <c r="C85" s="163" t="s">
        <v>130</v>
      </c>
      <c r="D85" s="163" t="s">
        <v>20</v>
      </c>
      <c r="E85" s="167">
        <f>E86</f>
        <v>801450</v>
      </c>
    </row>
    <row r="86" spans="1:5" outlineLevel="6">
      <c r="A86" s="164" t="s">
        <v>21</v>
      </c>
      <c r="B86" s="163" t="s">
        <v>24</v>
      </c>
      <c r="C86" s="163" t="s">
        <v>130</v>
      </c>
      <c r="D86" s="163" t="s">
        <v>22</v>
      </c>
      <c r="E86" s="167">
        <f>'прил 11 '!F82</f>
        <v>801450</v>
      </c>
    </row>
    <row r="87" spans="1:5" ht="15.75" customHeight="1" outlineLevel="6">
      <c r="A87" s="33" t="s">
        <v>704</v>
      </c>
      <c r="B87" s="163" t="s">
        <v>24</v>
      </c>
      <c r="C87" s="163" t="s">
        <v>270</v>
      </c>
      <c r="D87" s="163" t="s">
        <v>6</v>
      </c>
      <c r="E87" s="167">
        <f>E88+E91</f>
        <v>1451100</v>
      </c>
    </row>
    <row r="88" spans="1:5" ht="36" hidden="1" outlineLevel="6">
      <c r="A88" s="33" t="s">
        <v>731</v>
      </c>
      <c r="B88" s="163" t="s">
        <v>24</v>
      </c>
      <c r="C88" s="163" t="s">
        <v>703</v>
      </c>
      <c r="D88" s="163" t="s">
        <v>6</v>
      </c>
      <c r="E88" s="167">
        <f>E89</f>
        <v>0</v>
      </c>
    </row>
    <row r="89" spans="1:5" ht="36" hidden="1" outlineLevel="6">
      <c r="A89" s="164" t="s">
        <v>15</v>
      </c>
      <c r="B89" s="163" t="s">
        <v>24</v>
      </c>
      <c r="C89" s="163" t="s">
        <v>702</v>
      </c>
      <c r="D89" s="163" t="s">
        <v>16</v>
      </c>
      <c r="E89" s="167">
        <f>E90</f>
        <v>0</v>
      </c>
    </row>
    <row r="90" spans="1:5" ht="36" hidden="1" outlineLevel="6">
      <c r="A90" s="164" t="s">
        <v>17</v>
      </c>
      <c r="B90" s="163" t="s">
        <v>24</v>
      </c>
      <c r="C90" s="163" t="s">
        <v>702</v>
      </c>
      <c r="D90" s="163" t="s">
        <v>18</v>
      </c>
      <c r="E90" s="167">
        <f>'прил 11 '!F86</f>
        <v>0</v>
      </c>
    </row>
    <row r="91" spans="1:5" ht="36" outlineLevel="6">
      <c r="A91" s="164" t="s">
        <v>701</v>
      </c>
      <c r="B91" s="163" t="s">
        <v>24</v>
      </c>
      <c r="C91" s="163" t="s">
        <v>703</v>
      </c>
      <c r="D91" s="163" t="s">
        <v>6</v>
      </c>
      <c r="E91" s="167">
        <f>E94+E92</f>
        <v>1451100</v>
      </c>
    </row>
    <row r="92" spans="1:5" ht="72" outlineLevel="6">
      <c r="A92" s="164" t="s">
        <v>11</v>
      </c>
      <c r="B92" s="163" t="s">
        <v>24</v>
      </c>
      <c r="C92" s="163" t="s">
        <v>700</v>
      </c>
      <c r="D92" s="163" t="s">
        <v>12</v>
      </c>
      <c r="E92" s="167">
        <f>E93</f>
        <v>116000</v>
      </c>
    </row>
    <row r="93" spans="1:5" ht="36" outlineLevel="6">
      <c r="A93" s="164" t="s">
        <v>13</v>
      </c>
      <c r="B93" s="163" t="s">
        <v>24</v>
      </c>
      <c r="C93" s="163" t="s">
        <v>700</v>
      </c>
      <c r="D93" s="163" t="s">
        <v>14</v>
      </c>
      <c r="E93" s="167">
        <f>'прил 11 '!F89</f>
        <v>116000</v>
      </c>
    </row>
    <row r="94" spans="1:5" ht="36" outlineLevel="6">
      <c r="A94" s="164" t="s">
        <v>15</v>
      </c>
      <c r="B94" s="163" t="s">
        <v>24</v>
      </c>
      <c r="C94" s="163" t="s">
        <v>700</v>
      </c>
      <c r="D94" s="163" t="s">
        <v>16</v>
      </c>
      <c r="E94" s="167">
        <f>E95</f>
        <v>1335100</v>
      </c>
    </row>
    <row r="95" spans="1:5" ht="36" outlineLevel="6">
      <c r="A95" s="164" t="s">
        <v>17</v>
      </c>
      <c r="B95" s="163" t="s">
        <v>24</v>
      </c>
      <c r="C95" s="163" t="s">
        <v>700</v>
      </c>
      <c r="D95" s="163" t="s">
        <v>18</v>
      </c>
      <c r="E95" s="167">
        <f>'прил 11 '!F91</f>
        <v>1335100</v>
      </c>
    </row>
    <row r="96" spans="1:5" ht="36" outlineLevel="6">
      <c r="A96" s="196" t="s">
        <v>881</v>
      </c>
      <c r="B96" s="197" t="s">
        <v>24</v>
      </c>
      <c r="C96" s="197" t="s">
        <v>131</v>
      </c>
      <c r="D96" s="197" t="s">
        <v>6</v>
      </c>
      <c r="E96" s="167">
        <f>E97</f>
        <v>50000</v>
      </c>
    </row>
    <row r="97" spans="1:5" outlineLevel="6">
      <c r="A97" s="164" t="s">
        <v>324</v>
      </c>
      <c r="B97" s="163" t="s">
        <v>24</v>
      </c>
      <c r="C97" s="163" t="s">
        <v>233</v>
      </c>
      <c r="D97" s="163" t="s">
        <v>6</v>
      </c>
      <c r="E97" s="167">
        <f>E98</f>
        <v>50000</v>
      </c>
    </row>
    <row r="98" spans="1:5" ht="36" outlineLevel="6">
      <c r="A98" s="164" t="s">
        <v>325</v>
      </c>
      <c r="B98" s="163" t="s">
        <v>24</v>
      </c>
      <c r="C98" s="163" t="s">
        <v>326</v>
      </c>
      <c r="D98" s="163" t="s">
        <v>6</v>
      </c>
      <c r="E98" s="167">
        <f>E99</f>
        <v>50000</v>
      </c>
    </row>
    <row r="99" spans="1:5" ht="36" outlineLevel="6">
      <c r="A99" s="164" t="s">
        <v>15</v>
      </c>
      <c r="B99" s="163" t="s">
        <v>24</v>
      </c>
      <c r="C99" s="163" t="s">
        <v>326</v>
      </c>
      <c r="D99" s="163" t="s">
        <v>16</v>
      </c>
      <c r="E99" s="167">
        <f>E100</f>
        <v>50000</v>
      </c>
    </row>
    <row r="100" spans="1:5" ht="20.25" customHeight="1" outlineLevel="6">
      <c r="A100" s="164" t="s">
        <v>17</v>
      </c>
      <c r="B100" s="163" t="s">
        <v>24</v>
      </c>
      <c r="C100" s="163" t="s">
        <v>326</v>
      </c>
      <c r="D100" s="163" t="s">
        <v>18</v>
      </c>
      <c r="E100" s="167">
        <f>'прил 11 '!F96</f>
        <v>50000</v>
      </c>
    </row>
    <row r="101" spans="1:5" ht="45" customHeight="1" outlineLevel="6">
      <c r="A101" s="196" t="s">
        <v>857</v>
      </c>
      <c r="B101" s="197" t="s">
        <v>24</v>
      </c>
      <c r="C101" s="197" t="s">
        <v>317</v>
      </c>
      <c r="D101" s="197" t="s">
        <v>6</v>
      </c>
      <c r="E101" s="167">
        <f>E102</f>
        <v>1813714</v>
      </c>
    </row>
    <row r="102" spans="1:5" ht="36.75" customHeight="1" outlineLevel="6">
      <c r="A102" s="200" t="s">
        <v>327</v>
      </c>
      <c r="B102" s="163" t="s">
        <v>24</v>
      </c>
      <c r="C102" s="163" t="s">
        <v>318</v>
      </c>
      <c r="D102" s="163" t="s">
        <v>6</v>
      </c>
      <c r="E102" s="167">
        <f>E103+E106</f>
        <v>1813714</v>
      </c>
    </row>
    <row r="103" spans="1:5" ht="36" outlineLevel="6">
      <c r="A103" s="200" t="s">
        <v>328</v>
      </c>
      <c r="B103" s="163" t="s">
        <v>24</v>
      </c>
      <c r="C103" s="163" t="s">
        <v>329</v>
      </c>
      <c r="D103" s="163" t="s">
        <v>6</v>
      </c>
      <c r="E103" s="167">
        <f>E104</f>
        <v>1769556.5</v>
      </c>
    </row>
    <row r="104" spans="1:5" ht="23.25" customHeight="1" outlineLevel="6">
      <c r="A104" s="164" t="s">
        <v>15</v>
      </c>
      <c r="B104" s="163" t="s">
        <v>24</v>
      </c>
      <c r="C104" s="163" t="s">
        <v>329</v>
      </c>
      <c r="D104" s="163" t="s">
        <v>16</v>
      </c>
      <c r="E104" s="167">
        <f>E105</f>
        <v>1769556.5</v>
      </c>
    </row>
    <row r="105" spans="1:5" ht="21.75" customHeight="1" outlineLevel="6">
      <c r="A105" s="164" t="s">
        <v>17</v>
      </c>
      <c r="B105" s="163" t="s">
        <v>24</v>
      </c>
      <c r="C105" s="163" t="s">
        <v>329</v>
      </c>
      <c r="D105" s="163" t="s">
        <v>18</v>
      </c>
      <c r="E105" s="167">
        <f>'прил 11 '!F101+'прил 11 '!F35</f>
        <v>1769556.5</v>
      </c>
    </row>
    <row r="106" spans="1:5" ht="21.15" customHeight="1" outlineLevel="6">
      <c r="A106" s="200" t="s">
        <v>330</v>
      </c>
      <c r="B106" s="163" t="s">
        <v>24</v>
      </c>
      <c r="C106" s="163" t="s">
        <v>319</v>
      </c>
      <c r="D106" s="163" t="s">
        <v>6</v>
      </c>
      <c r="E106" s="167">
        <f>E107</f>
        <v>44157.5</v>
      </c>
    </row>
    <row r="107" spans="1:5" ht="21.15" customHeight="1" outlineLevel="6">
      <c r="A107" s="164" t="s">
        <v>15</v>
      </c>
      <c r="B107" s="163" t="s">
        <v>24</v>
      </c>
      <c r="C107" s="163" t="s">
        <v>319</v>
      </c>
      <c r="D107" s="163" t="s">
        <v>16</v>
      </c>
      <c r="E107" s="167">
        <f>E108</f>
        <v>44157.5</v>
      </c>
    </row>
    <row r="108" spans="1:5" ht="21.15" customHeight="1" outlineLevel="6">
      <c r="A108" s="164" t="s">
        <v>17</v>
      </c>
      <c r="B108" s="163" t="s">
        <v>24</v>
      </c>
      <c r="C108" s="163" t="s">
        <v>319</v>
      </c>
      <c r="D108" s="163" t="s">
        <v>18</v>
      </c>
      <c r="E108" s="167">
        <f>'прил 11 '!F104</f>
        <v>44157.5</v>
      </c>
    </row>
    <row r="109" spans="1:5" ht="38.25" customHeight="1" outlineLevel="6">
      <c r="A109" s="196" t="s">
        <v>880</v>
      </c>
      <c r="B109" s="197" t="s">
        <v>24</v>
      </c>
      <c r="C109" s="197" t="s">
        <v>331</v>
      </c>
      <c r="D109" s="197" t="s">
        <v>6</v>
      </c>
      <c r="E109" s="167">
        <f>E110</f>
        <v>2600000</v>
      </c>
    </row>
    <row r="110" spans="1:5" ht="36" outlineLevel="6">
      <c r="A110" s="164" t="s">
        <v>215</v>
      </c>
      <c r="B110" s="163" t="s">
        <v>24</v>
      </c>
      <c r="C110" s="163" t="s">
        <v>332</v>
      </c>
      <c r="D110" s="163" t="s">
        <v>6</v>
      </c>
      <c r="E110" s="167">
        <f>E111</f>
        <v>2600000</v>
      </c>
    </row>
    <row r="111" spans="1:5" ht="54" outlineLevel="6">
      <c r="A111" s="164" t="s">
        <v>32</v>
      </c>
      <c r="B111" s="163" t="s">
        <v>24</v>
      </c>
      <c r="C111" s="163" t="s">
        <v>333</v>
      </c>
      <c r="D111" s="163" t="s">
        <v>6</v>
      </c>
      <c r="E111" s="167">
        <f>E112+E114</f>
        <v>2600000</v>
      </c>
    </row>
    <row r="112" spans="1:5" ht="18" customHeight="1" outlineLevel="6">
      <c r="A112" s="164" t="s">
        <v>15</v>
      </c>
      <c r="B112" s="163" t="s">
        <v>24</v>
      </c>
      <c r="C112" s="163" t="s">
        <v>333</v>
      </c>
      <c r="D112" s="163" t="s">
        <v>16</v>
      </c>
      <c r="E112" s="167">
        <f>E113</f>
        <v>2460000</v>
      </c>
    </row>
    <row r="113" spans="1:5" ht="18.75" customHeight="1" outlineLevel="6">
      <c r="A113" s="164" t="s">
        <v>17</v>
      </c>
      <c r="B113" s="163" t="s">
        <v>24</v>
      </c>
      <c r="C113" s="163" t="s">
        <v>333</v>
      </c>
      <c r="D113" s="163" t="s">
        <v>18</v>
      </c>
      <c r="E113" s="167">
        <f>'прил 11 '!F109</f>
        <v>2460000</v>
      </c>
    </row>
    <row r="114" spans="1:5" outlineLevel="6">
      <c r="A114" s="164" t="s">
        <v>19</v>
      </c>
      <c r="B114" s="163" t="s">
        <v>24</v>
      </c>
      <c r="C114" s="163" t="s">
        <v>333</v>
      </c>
      <c r="D114" s="163" t="s">
        <v>20</v>
      </c>
      <c r="E114" s="167">
        <f>E115</f>
        <v>140000</v>
      </c>
    </row>
    <row r="115" spans="1:5" outlineLevel="6">
      <c r="A115" s="164" t="s">
        <v>21</v>
      </c>
      <c r="B115" s="163" t="s">
        <v>24</v>
      </c>
      <c r="C115" s="163" t="s">
        <v>333</v>
      </c>
      <c r="D115" s="163" t="s">
        <v>22</v>
      </c>
      <c r="E115" s="167">
        <f>'прил 11 '!F111</f>
        <v>140000</v>
      </c>
    </row>
    <row r="116" spans="1:5" outlineLevel="2">
      <c r="A116" s="164" t="s">
        <v>198</v>
      </c>
      <c r="B116" s="163" t="s">
        <v>24</v>
      </c>
      <c r="C116" s="163" t="s">
        <v>127</v>
      </c>
      <c r="D116" s="163" t="s">
        <v>6</v>
      </c>
      <c r="E116" s="167">
        <f>E117+E126+E131+E134+E137+E122</f>
        <v>43146630.420000002</v>
      </c>
    </row>
    <row r="117" spans="1:5" ht="36.75" customHeight="1" outlineLevel="4">
      <c r="A117" s="164" t="s">
        <v>498</v>
      </c>
      <c r="B117" s="163" t="s">
        <v>24</v>
      </c>
      <c r="C117" s="163" t="s">
        <v>499</v>
      </c>
      <c r="D117" s="163" t="s">
        <v>6</v>
      </c>
      <c r="E117" s="167">
        <f>E118+E120</f>
        <v>35005140.490000002</v>
      </c>
    </row>
    <row r="118" spans="1:5" ht="72" outlineLevel="5">
      <c r="A118" s="164" t="s">
        <v>11</v>
      </c>
      <c r="B118" s="163" t="s">
        <v>24</v>
      </c>
      <c r="C118" s="163" t="s">
        <v>499</v>
      </c>
      <c r="D118" s="163" t="s">
        <v>12</v>
      </c>
      <c r="E118" s="167">
        <f>E119</f>
        <v>34985140.490000002</v>
      </c>
    </row>
    <row r="119" spans="1:5" ht="17.399999999999999" customHeight="1" outlineLevel="6">
      <c r="A119" s="164" t="s">
        <v>13</v>
      </c>
      <c r="B119" s="163" t="s">
        <v>24</v>
      </c>
      <c r="C119" s="163" t="s">
        <v>499</v>
      </c>
      <c r="D119" s="163" t="s">
        <v>14</v>
      </c>
      <c r="E119" s="167">
        <f>'прил 11 '!F115</f>
        <v>34985140.490000002</v>
      </c>
    </row>
    <row r="120" spans="1:5" ht="17.399999999999999" customHeight="1" outlineLevel="6">
      <c r="A120" s="164" t="s">
        <v>15</v>
      </c>
      <c r="B120" s="163" t="s">
        <v>24</v>
      </c>
      <c r="C120" s="163" t="s">
        <v>499</v>
      </c>
      <c r="D120" s="163" t="s">
        <v>16</v>
      </c>
      <c r="E120" s="167">
        <f>E121</f>
        <v>20000</v>
      </c>
    </row>
    <row r="121" spans="1:5" ht="21.15" customHeight="1" outlineLevel="6">
      <c r="A121" s="164" t="s">
        <v>17</v>
      </c>
      <c r="B121" s="163" t="s">
        <v>24</v>
      </c>
      <c r="C121" s="163" t="s">
        <v>499</v>
      </c>
      <c r="D121" s="163" t="s">
        <v>18</v>
      </c>
      <c r="E121" s="167">
        <f>'прил 11 '!F117</f>
        <v>20000</v>
      </c>
    </row>
    <row r="122" spans="1:5" ht="39.15" customHeight="1" outlineLevel="6">
      <c r="A122" s="164" t="s">
        <v>699</v>
      </c>
      <c r="B122" s="163" t="s">
        <v>24</v>
      </c>
      <c r="C122" s="163" t="s">
        <v>697</v>
      </c>
      <c r="D122" s="163" t="s">
        <v>6</v>
      </c>
      <c r="E122" s="167">
        <f>E123</f>
        <v>460000</v>
      </c>
    </row>
    <row r="123" spans="1:5" ht="19.5" customHeight="1" outlineLevel="6">
      <c r="A123" s="164" t="s">
        <v>19</v>
      </c>
      <c r="B123" s="163" t="s">
        <v>24</v>
      </c>
      <c r="C123" s="163" t="s">
        <v>697</v>
      </c>
      <c r="D123" s="163" t="s">
        <v>20</v>
      </c>
      <c r="E123" s="167">
        <f>E125+E124</f>
        <v>460000</v>
      </c>
    </row>
    <row r="124" spans="1:5" ht="0.75" customHeight="1" outlineLevel="6">
      <c r="A124" s="164" t="s">
        <v>729</v>
      </c>
      <c r="B124" s="163" t="s">
        <v>24</v>
      </c>
      <c r="C124" s="163" t="s">
        <v>697</v>
      </c>
      <c r="D124" s="163" t="s">
        <v>730</v>
      </c>
      <c r="E124" s="167">
        <f>'прил 11 '!F120</f>
        <v>0</v>
      </c>
    </row>
    <row r="125" spans="1:5" ht="21.15" customHeight="1" outlineLevel="6">
      <c r="A125" s="164" t="s">
        <v>698</v>
      </c>
      <c r="B125" s="163" t="s">
        <v>24</v>
      </c>
      <c r="C125" s="163" t="s">
        <v>697</v>
      </c>
      <c r="D125" s="163" t="s">
        <v>22</v>
      </c>
      <c r="E125" s="167">
        <f>'прил 11 '!F121</f>
        <v>460000</v>
      </c>
    </row>
    <row r="126" spans="1:5" ht="0.75" customHeight="1" outlineLevel="6">
      <c r="A126" s="33" t="s">
        <v>611</v>
      </c>
      <c r="B126" s="163" t="s">
        <v>24</v>
      </c>
      <c r="C126" s="163" t="s">
        <v>612</v>
      </c>
      <c r="D126" s="163" t="s">
        <v>6</v>
      </c>
      <c r="E126" s="167">
        <f>E127+E129</f>
        <v>0</v>
      </c>
    </row>
    <row r="127" spans="1:5" ht="21.15" hidden="1" customHeight="1" outlineLevel="6">
      <c r="A127" s="164" t="s">
        <v>15</v>
      </c>
      <c r="B127" s="163" t="s">
        <v>24</v>
      </c>
      <c r="C127" s="163" t="s">
        <v>612</v>
      </c>
      <c r="D127" s="163" t="s">
        <v>16</v>
      </c>
      <c r="E127" s="167">
        <f>E128</f>
        <v>0</v>
      </c>
    </row>
    <row r="128" spans="1:5" ht="21.15" hidden="1" customHeight="1" outlineLevel="6">
      <c r="A128" s="164" t="s">
        <v>17</v>
      </c>
      <c r="B128" s="163" t="s">
        <v>24</v>
      </c>
      <c r="C128" s="163" t="s">
        <v>612</v>
      </c>
      <c r="D128" s="163" t="s">
        <v>18</v>
      </c>
      <c r="E128" s="167">
        <f>'прил 11 '!F124</f>
        <v>0</v>
      </c>
    </row>
    <row r="129" spans="1:5" ht="23.25" hidden="1" customHeight="1" outlineLevel="6">
      <c r="A129" s="164" t="s">
        <v>90</v>
      </c>
      <c r="B129" s="163" t="s">
        <v>711</v>
      </c>
      <c r="C129" s="163" t="s">
        <v>612</v>
      </c>
      <c r="D129" s="163" t="s">
        <v>91</v>
      </c>
      <c r="E129" s="167">
        <f>E130</f>
        <v>0</v>
      </c>
    </row>
    <row r="130" spans="1:5" ht="39.75" hidden="1" customHeight="1" outlineLevel="6">
      <c r="A130" s="164" t="s">
        <v>97</v>
      </c>
      <c r="B130" s="163" t="s">
        <v>710</v>
      </c>
      <c r="C130" s="163" t="s">
        <v>612</v>
      </c>
      <c r="D130" s="163" t="s">
        <v>98</v>
      </c>
      <c r="E130" s="167">
        <f>'прил 11 '!F126</f>
        <v>0</v>
      </c>
    </row>
    <row r="131" spans="1:5" ht="36" outlineLevel="6">
      <c r="A131" s="164" t="s">
        <v>544</v>
      </c>
      <c r="B131" s="163" t="s">
        <v>24</v>
      </c>
      <c r="C131" s="163" t="s">
        <v>506</v>
      </c>
      <c r="D131" s="163" t="s">
        <v>6</v>
      </c>
      <c r="E131" s="167">
        <f>E132</f>
        <v>200000</v>
      </c>
    </row>
    <row r="132" spans="1:5" ht="16.5" customHeight="1" outlineLevel="6">
      <c r="A132" s="164" t="s">
        <v>15</v>
      </c>
      <c r="B132" s="163" t="s">
        <v>24</v>
      </c>
      <c r="C132" s="163" t="s">
        <v>506</v>
      </c>
      <c r="D132" s="163" t="s">
        <v>16</v>
      </c>
      <c r="E132" s="167">
        <f>E133</f>
        <v>200000</v>
      </c>
    </row>
    <row r="133" spans="1:5" ht="20.25" customHeight="1" outlineLevel="6">
      <c r="A133" s="164" t="s">
        <v>17</v>
      </c>
      <c r="B133" s="163" t="s">
        <v>24</v>
      </c>
      <c r="C133" s="163" t="s">
        <v>506</v>
      </c>
      <c r="D133" s="163" t="s">
        <v>18</v>
      </c>
      <c r="E133" s="167">
        <f>'прил 11 '!F129</f>
        <v>200000</v>
      </c>
    </row>
    <row r="134" spans="1:5" ht="40.65" customHeight="1" outlineLevel="6">
      <c r="A134" s="164" t="s">
        <v>536</v>
      </c>
      <c r="B134" s="163" t="s">
        <v>24</v>
      </c>
      <c r="C134" s="163" t="s">
        <v>537</v>
      </c>
      <c r="D134" s="163" t="s">
        <v>6</v>
      </c>
      <c r="E134" s="167">
        <f>E135</f>
        <v>104000</v>
      </c>
    </row>
    <row r="135" spans="1:5" ht="19.5" customHeight="1" outlineLevel="6">
      <c r="A135" s="164" t="s">
        <v>15</v>
      </c>
      <c r="B135" s="163" t="s">
        <v>24</v>
      </c>
      <c r="C135" s="163" t="s">
        <v>537</v>
      </c>
      <c r="D135" s="163" t="s">
        <v>16</v>
      </c>
      <c r="E135" s="167">
        <f>E136</f>
        <v>104000</v>
      </c>
    </row>
    <row r="136" spans="1:5" ht="20.25" customHeight="1" outlineLevel="6">
      <c r="A136" s="164" t="s">
        <v>17</v>
      </c>
      <c r="B136" s="163" t="s">
        <v>24</v>
      </c>
      <c r="C136" s="163" t="s">
        <v>537</v>
      </c>
      <c r="D136" s="163" t="s">
        <v>18</v>
      </c>
      <c r="E136" s="167">
        <f>'прил 11 '!F497</f>
        <v>104000</v>
      </c>
    </row>
    <row r="137" spans="1:5" ht="21.75" customHeight="1" outlineLevel="6">
      <c r="A137" s="164" t="s">
        <v>277</v>
      </c>
      <c r="B137" s="163" t="s">
        <v>24</v>
      </c>
      <c r="C137" s="163" t="s">
        <v>276</v>
      </c>
      <c r="D137" s="163" t="s">
        <v>6</v>
      </c>
      <c r="E137" s="167">
        <f>E138+E164+E141+E149+E154+E159+E146</f>
        <v>7377489.9299999997</v>
      </c>
    </row>
    <row r="138" spans="1:5" hidden="1" outlineLevel="6">
      <c r="A138" s="164" t="s">
        <v>574</v>
      </c>
      <c r="B138" s="163" t="s">
        <v>24</v>
      </c>
      <c r="C138" s="163" t="s">
        <v>590</v>
      </c>
      <c r="D138" s="163" t="s">
        <v>6</v>
      </c>
      <c r="E138" s="167">
        <f>E139</f>
        <v>0</v>
      </c>
    </row>
    <row r="139" spans="1:5" ht="36" hidden="1" outlineLevel="6">
      <c r="A139" s="164" t="s">
        <v>15</v>
      </c>
      <c r="B139" s="163" t="s">
        <v>24</v>
      </c>
      <c r="C139" s="163" t="s">
        <v>590</v>
      </c>
      <c r="D139" s="163" t="s">
        <v>16</v>
      </c>
      <c r="E139" s="167">
        <f>E140</f>
        <v>0</v>
      </c>
    </row>
    <row r="140" spans="1:5" ht="36" outlineLevel="6">
      <c r="A140" s="164" t="s">
        <v>17</v>
      </c>
      <c r="B140" s="163" t="s">
        <v>24</v>
      </c>
      <c r="C140" s="163" t="s">
        <v>590</v>
      </c>
      <c r="D140" s="163" t="s">
        <v>18</v>
      </c>
      <c r="E140" s="167"/>
    </row>
    <row r="141" spans="1:5" ht="54" outlineLevel="4">
      <c r="A141" s="187" t="s">
        <v>411</v>
      </c>
      <c r="B141" s="163" t="s">
        <v>24</v>
      </c>
      <c r="C141" s="163" t="s">
        <v>278</v>
      </c>
      <c r="D141" s="163" t="s">
        <v>6</v>
      </c>
      <c r="E141" s="167">
        <f>E142+E144</f>
        <v>1442603</v>
      </c>
    </row>
    <row r="142" spans="1:5" ht="38.25" customHeight="1" outlineLevel="5">
      <c r="A142" s="164" t="s">
        <v>11</v>
      </c>
      <c r="B142" s="163" t="s">
        <v>24</v>
      </c>
      <c r="C142" s="163" t="s">
        <v>278</v>
      </c>
      <c r="D142" s="163" t="s">
        <v>12</v>
      </c>
      <c r="E142" s="167">
        <f>E143</f>
        <v>1427603</v>
      </c>
    </row>
    <row r="143" spans="1:5" ht="18.75" customHeight="1" outlineLevel="6">
      <c r="A143" s="164" t="s">
        <v>13</v>
      </c>
      <c r="B143" s="163" t="s">
        <v>24</v>
      </c>
      <c r="C143" s="163" t="s">
        <v>278</v>
      </c>
      <c r="D143" s="163" t="s">
        <v>14</v>
      </c>
      <c r="E143" s="167">
        <f>'прил 11 '!F133</f>
        <v>1427603</v>
      </c>
    </row>
    <row r="144" spans="1:5" ht="16.5" customHeight="1" outlineLevel="5">
      <c r="A144" s="164" t="s">
        <v>15</v>
      </c>
      <c r="B144" s="163" t="s">
        <v>24</v>
      </c>
      <c r="C144" s="163" t="s">
        <v>278</v>
      </c>
      <c r="D144" s="163" t="s">
        <v>16</v>
      </c>
      <c r="E144" s="167">
        <f>E145</f>
        <v>15000</v>
      </c>
    </row>
    <row r="145" spans="1:5" ht="20.25" customHeight="1" outlineLevel="6">
      <c r="A145" s="164" t="s">
        <v>17</v>
      </c>
      <c r="B145" s="163" t="s">
        <v>24</v>
      </c>
      <c r="C145" s="163" t="s">
        <v>278</v>
      </c>
      <c r="D145" s="163" t="s">
        <v>18</v>
      </c>
      <c r="E145" s="167">
        <f>'прил 11 '!F135</f>
        <v>15000</v>
      </c>
    </row>
    <row r="146" spans="1:5" ht="80.400000000000006" customHeight="1" outlineLevel="6">
      <c r="A146" s="164" t="s">
        <v>736</v>
      </c>
      <c r="B146" s="163" t="s">
        <v>24</v>
      </c>
      <c r="C146" s="163" t="s">
        <v>735</v>
      </c>
      <c r="D146" s="163" t="s">
        <v>6</v>
      </c>
      <c r="E146" s="167">
        <f>E147</f>
        <v>353579</v>
      </c>
    </row>
    <row r="147" spans="1:5" ht="42" customHeight="1" outlineLevel="6">
      <c r="A147" s="164" t="s">
        <v>11</v>
      </c>
      <c r="B147" s="163" t="s">
        <v>24</v>
      </c>
      <c r="C147" s="163" t="s">
        <v>735</v>
      </c>
      <c r="D147" s="163" t="s">
        <v>12</v>
      </c>
      <c r="E147" s="167">
        <f>E148</f>
        <v>353579</v>
      </c>
    </row>
    <row r="148" spans="1:5" ht="42" customHeight="1" outlineLevel="6">
      <c r="A148" s="164" t="s">
        <v>13</v>
      </c>
      <c r="B148" s="163" t="s">
        <v>24</v>
      </c>
      <c r="C148" s="163" t="s">
        <v>735</v>
      </c>
      <c r="D148" s="163" t="s">
        <v>14</v>
      </c>
      <c r="E148" s="167">
        <f>'прил 11 '!F138</f>
        <v>353579</v>
      </c>
    </row>
    <row r="149" spans="1:5" outlineLevel="4">
      <c r="A149" s="187" t="s">
        <v>584</v>
      </c>
      <c r="B149" s="163" t="s">
        <v>24</v>
      </c>
      <c r="C149" s="163" t="s">
        <v>591</v>
      </c>
      <c r="D149" s="163" t="s">
        <v>6</v>
      </c>
      <c r="E149" s="167">
        <f>E150+E152</f>
        <v>2096028</v>
      </c>
    </row>
    <row r="150" spans="1:5" ht="72" outlineLevel="5">
      <c r="A150" s="164" t="s">
        <v>11</v>
      </c>
      <c r="B150" s="163" t="s">
        <v>24</v>
      </c>
      <c r="C150" s="163" t="s">
        <v>591</v>
      </c>
      <c r="D150" s="163" t="s">
        <v>12</v>
      </c>
      <c r="E150" s="167">
        <f>E151</f>
        <v>2081028</v>
      </c>
    </row>
    <row r="151" spans="1:5" ht="19.5" customHeight="1" outlineLevel="6">
      <c r="A151" s="164" t="s">
        <v>13</v>
      </c>
      <c r="B151" s="163" t="s">
        <v>24</v>
      </c>
      <c r="C151" s="163" t="s">
        <v>591</v>
      </c>
      <c r="D151" s="163" t="s">
        <v>14</v>
      </c>
      <c r="E151" s="167">
        <f>'прил 11 '!F141</f>
        <v>2081028</v>
      </c>
    </row>
    <row r="152" spans="1:5" ht="19.5" customHeight="1" outlineLevel="5">
      <c r="A152" s="164" t="s">
        <v>15</v>
      </c>
      <c r="B152" s="163" t="s">
        <v>24</v>
      </c>
      <c r="C152" s="163" t="s">
        <v>591</v>
      </c>
      <c r="D152" s="163" t="s">
        <v>16</v>
      </c>
      <c r="E152" s="167">
        <f>E153</f>
        <v>15000</v>
      </c>
    </row>
    <row r="153" spans="1:5" ht="19.5" customHeight="1" outlineLevel="6">
      <c r="A153" s="164" t="s">
        <v>17</v>
      </c>
      <c r="B153" s="163" t="s">
        <v>24</v>
      </c>
      <c r="C153" s="163" t="s">
        <v>591</v>
      </c>
      <c r="D153" s="163" t="s">
        <v>18</v>
      </c>
      <c r="E153" s="167">
        <f>'прил 11 '!F143</f>
        <v>15000</v>
      </c>
    </row>
    <row r="154" spans="1:5" ht="64.5" customHeight="1" outlineLevel="4">
      <c r="A154" s="187" t="s">
        <v>382</v>
      </c>
      <c r="B154" s="163" t="s">
        <v>24</v>
      </c>
      <c r="C154" s="163" t="s">
        <v>279</v>
      </c>
      <c r="D154" s="163" t="s">
        <v>6</v>
      </c>
      <c r="E154" s="167">
        <f>E155+E157</f>
        <v>830909</v>
      </c>
    </row>
    <row r="155" spans="1:5" ht="72" outlineLevel="5">
      <c r="A155" s="164" t="s">
        <v>11</v>
      </c>
      <c r="B155" s="163" t="s">
        <v>24</v>
      </c>
      <c r="C155" s="163" t="s">
        <v>279</v>
      </c>
      <c r="D155" s="163" t="s">
        <v>12</v>
      </c>
      <c r="E155" s="167">
        <f>E156</f>
        <v>785909</v>
      </c>
    </row>
    <row r="156" spans="1:5" ht="19.5" customHeight="1" outlineLevel="6">
      <c r="A156" s="164" t="s">
        <v>13</v>
      </c>
      <c r="B156" s="163" t="s">
        <v>24</v>
      </c>
      <c r="C156" s="163" t="s">
        <v>279</v>
      </c>
      <c r="D156" s="163" t="s">
        <v>14</v>
      </c>
      <c r="E156" s="167">
        <f>'прил 11 '!F146</f>
        <v>785909</v>
      </c>
    </row>
    <row r="157" spans="1:5" ht="19.5" customHeight="1" outlineLevel="5">
      <c r="A157" s="164" t="s">
        <v>15</v>
      </c>
      <c r="B157" s="163" t="s">
        <v>24</v>
      </c>
      <c r="C157" s="163" t="s">
        <v>279</v>
      </c>
      <c r="D157" s="163" t="s">
        <v>16</v>
      </c>
      <c r="E157" s="167">
        <f>E158</f>
        <v>45000</v>
      </c>
    </row>
    <row r="158" spans="1:5" ht="19.5" customHeight="1" outlineLevel="6">
      <c r="A158" s="164" t="s">
        <v>17</v>
      </c>
      <c r="B158" s="163" t="s">
        <v>24</v>
      </c>
      <c r="C158" s="163" t="s">
        <v>279</v>
      </c>
      <c r="D158" s="163" t="s">
        <v>18</v>
      </c>
      <c r="E158" s="167">
        <f>'прил 11 '!F148</f>
        <v>45000</v>
      </c>
    </row>
    <row r="159" spans="1:5" ht="36" outlineLevel="6">
      <c r="A159" s="164" t="s">
        <v>406</v>
      </c>
      <c r="B159" s="163" t="s">
        <v>24</v>
      </c>
      <c r="C159" s="163" t="s">
        <v>407</v>
      </c>
      <c r="D159" s="163" t="s">
        <v>6</v>
      </c>
      <c r="E159" s="167">
        <f>E160+E162</f>
        <v>1950219</v>
      </c>
    </row>
    <row r="160" spans="1:5" ht="72" outlineLevel="6">
      <c r="A160" s="164" t="s">
        <v>11</v>
      </c>
      <c r="B160" s="163" t="s">
        <v>24</v>
      </c>
      <c r="C160" s="163" t="s">
        <v>407</v>
      </c>
      <c r="D160" s="163" t="s">
        <v>12</v>
      </c>
      <c r="E160" s="167">
        <f>E161</f>
        <v>1792619</v>
      </c>
    </row>
    <row r="161" spans="1:7" ht="17.399999999999999" customHeight="1" outlineLevel="6">
      <c r="A161" s="164" t="s">
        <v>13</v>
      </c>
      <c r="B161" s="163" t="s">
        <v>24</v>
      </c>
      <c r="C161" s="163" t="s">
        <v>407</v>
      </c>
      <c r="D161" s="163" t="s">
        <v>14</v>
      </c>
      <c r="E161" s="167">
        <f>'прил 11 '!F151</f>
        <v>1792619</v>
      </c>
    </row>
    <row r="162" spans="1:7" ht="17.399999999999999" customHeight="1" outlineLevel="6">
      <c r="A162" s="164" t="s">
        <v>15</v>
      </c>
      <c r="B162" s="163" t="s">
        <v>24</v>
      </c>
      <c r="C162" s="163" t="s">
        <v>407</v>
      </c>
      <c r="D162" s="163" t="s">
        <v>16</v>
      </c>
      <c r="E162" s="167">
        <f>E163</f>
        <v>157600</v>
      </c>
    </row>
    <row r="163" spans="1:7" ht="17.399999999999999" customHeight="1" outlineLevel="6">
      <c r="A163" s="164" t="s">
        <v>17</v>
      </c>
      <c r="B163" s="163" t="s">
        <v>24</v>
      </c>
      <c r="C163" s="163" t="s">
        <v>407</v>
      </c>
      <c r="D163" s="163" t="s">
        <v>18</v>
      </c>
      <c r="E163" s="167">
        <f>'прил 11 '!F153</f>
        <v>157600</v>
      </c>
    </row>
    <row r="164" spans="1:7" ht="94.65" customHeight="1" outlineLevel="6">
      <c r="A164" s="187" t="s">
        <v>667</v>
      </c>
      <c r="B164" s="163" t="s">
        <v>24</v>
      </c>
      <c r="C164" s="163" t="s">
        <v>295</v>
      </c>
      <c r="D164" s="163" t="s">
        <v>6</v>
      </c>
      <c r="E164" s="167">
        <f>E165+E167</f>
        <v>704151.93</v>
      </c>
    </row>
    <row r="165" spans="1:7" ht="72" outlineLevel="6">
      <c r="A165" s="164" t="s">
        <v>11</v>
      </c>
      <c r="B165" s="163" t="s">
        <v>24</v>
      </c>
      <c r="C165" s="163" t="s">
        <v>295</v>
      </c>
      <c r="D165" s="163" t="s">
        <v>12</v>
      </c>
      <c r="E165" s="167">
        <f>E166</f>
        <v>644151.93000000005</v>
      </c>
    </row>
    <row r="166" spans="1:7" ht="19.5" customHeight="1" outlineLevel="6">
      <c r="A166" s="164" t="s">
        <v>13</v>
      </c>
      <c r="B166" s="163" t="s">
        <v>24</v>
      </c>
      <c r="C166" s="163" t="s">
        <v>295</v>
      </c>
      <c r="D166" s="163" t="s">
        <v>14</v>
      </c>
      <c r="E166" s="167">
        <f>'прил 11 '!F156</f>
        <v>644151.93000000005</v>
      </c>
    </row>
    <row r="167" spans="1:7" ht="36" outlineLevel="6">
      <c r="A167" s="164" t="s">
        <v>15</v>
      </c>
      <c r="B167" s="163" t="s">
        <v>24</v>
      </c>
      <c r="C167" s="163" t="s">
        <v>295</v>
      </c>
      <c r="D167" s="163" t="s">
        <v>16</v>
      </c>
      <c r="E167" s="167">
        <f>E168</f>
        <v>60000</v>
      </c>
    </row>
    <row r="168" spans="1:7" ht="36" outlineLevel="6">
      <c r="A168" s="164" t="s">
        <v>17</v>
      </c>
      <c r="B168" s="163" t="s">
        <v>24</v>
      </c>
      <c r="C168" s="163" t="s">
        <v>295</v>
      </c>
      <c r="D168" s="163" t="s">
        <v>18</v>
      </c>
      <c r="E168" s="167">
        <f>'прил 11 '!F158</f>
        <v>60000</v>
      </c>
    </row>
    <row r="169" spans="1:7" ht="22.65" customHeight="1" outlineLevel="6">
      <c r="A169" s="191" t="s">
        <v>592</v>
      </c>
      <c r="B169" s="192" t="s">
        <v>26</v>
      </c>
      <c r="C169" s="192" t="s">
        <v>126</v>
      </c>
      <c r="D169" s="192" t="s">
        <v>6</v>
      </c>
      <c r="E169" s="215">
        <f t="shared" ref="E169:E174" si="0">E170</f>
        <v>1626656</v>
      </c>
      <c r="G169" s="263">
        <f>E169/'прил 11 '!F687*100</f>
        <v>0.16938413950149359</v>
      </c>
    </row>
    <row r="170" spans="1:7" ht="22.65" customHeight="1" outlineLevel="6">
      <c r="A170" s="164" t="s">
        <v>593</v>
      </c>
      <c r="B170" s="163" t="s">
        <v>594</v>
      </c>
      <c r="C170" s="163" t="s">
        <v>126</v>
      </c>
      <c r="D170" s="163" t="s">
        <v>6</v>
      </c>
      <c r="E170" s="167">
        <f t="shared" si="0"/>
        <v>1626656</v>
      </c>
    </row>
    <row r="171" spans="1:7" outlineLevel="6">
      <c r="A171" s="164" t="s">
        <v>198</v>
      </c>
      <c r="B171" s="163" t="s">
        <v>594</v>
      </c>
      <c r="C171" s="163" t="s">
        <v>127</v>
      </c>
      <c r="D171" s="163" t="s">
        <v>6</v>
      </c>
      <c r="E171" s="167">
        <f t="shared" si="0"/>
        <v>1626656</v>
      </c>
    </row>
    <row r="172" spans="1:7" outlineLevel="6">
      <c r="A172" s="164" t="s">
        <v>277</v>
      </c>
      <c r="B172" s="163" t="s">
        <v>594</v>
      </c>
      <c r="C172" s="163" t="s">
        <v>276</v>
      </c>
      <c r="D172" s="163" t="s">
        <v>6</v>
      </c>
      <c r="E172" s="167">
        <f>E173+E176</f>
        <v>1626656</v>
      </c>
    </row>
    <row r="173" spans="1:7" ht="36" outlineLevel="6">
      <c r="A173" s="200" t="s">
        <v>595</v>
      </c>
      <c r="B173" s="163" t="s">
        <v>594</v>
      </c>
      <c r="C173" s="163" t="s">
        <v>596</v>
      </c>
      <c r="D173" s="163" t="s">
        <v>6</v>
      </c>
      <c r="E173" s="167">
        <f t="shared" si="0"/>
        <v>1383656</v>
      </c>
    </row>
    <row r="174" spans="1:7" ht="72" outlineLevel="6">
      <c r="A174" s="164" t="s">
        <v>11</v>
      </c>
      <c r="B174" s="163" t="s">
        <v>594</v>
      </c>
      <c r="C174" s="163" t="s">
        <v>596</v>
      </c>
      <c r="D174" s="163" t="s">
        <v>12</v>
      </c>
      <c r="E174" s="167">
        <f t="shared" si="0"/>
        <v>1383656</v>
      </c>
    </row>
    <row r="175" spans="1:7" ht="36" outlineLevel="6">
      <c r="A175" s="164" t="s">
        <v>13</v>
      </c>
      <c r="B175" s="163" t="s">
        <v>594</v>
      </c>
      <c r="C175" s="163" t="s">
        <v>596</v>
      </c>
      <c r="D175" s="163" t="s">
        <v>14</v>
      </c>
      <c r="E175" s="167">
        <f>'прил 11 '!F165</f>
        <v>1383656</v>
      </c>
    </row>
    <row r="176" spans="1:7" ht="54" outlineLevel="6">
      <c r="A176" s="200" t="s">
        <v>737</v>
      </c>
      <c r="B176" s="163" t="s">
        <v>594</v>
      </c>
      <c r="C176" s="163" t="s">
        <v>742</v>
      </c>
      <c r="D176" s="163" t="s">
        <v>6</v>
      </c>
      <c r="E176" s="167">
        <f>E177</f>
        <v>243000</v>
      </c>
    </row>
    <row r="177" spans="1:7" ht="72" outlineLevel="6">
      <c r="A177" s="164" t="s">
        <v>11</v>
      </c>
      <c r="B177" s="163" t="s">
        <v>594</v>
      </c>
      <c r="C177" s="163" t="s">
        <v>742</v>
      </c>
      <c r="D177" s="163" t="s">
        <v>12</v>
      </c>
      <c r="E177" s="167">
        <f>E178</f>
        <v>243000</v>
      </c>
    </row>
    <row r="178" spans="1:7" ht="36" outlineLevel="6">
      <c r="A178" s="164" t="s">
        <v>13</v>
      </c>
      <c r="B178" s="163" t="s">
        <v>594</v>
      </c>
      <c r="C178" s="163" t="s">
        <v>742</v>
      </c>
      <c r="D178" s="163" t="s">
        <v>14</v>
      </c>
      <c r="E178" s="167">
        <f>'прил 11 '!F168</f>
        <v>243000</v>
      </c>
    </row>
    <row r="179" spans="1:7" s="264" customFormat="1" ht="19.5" customHeight="1">
      <c r="A179" s="164" t="s">
        <v>41</v>
      </c>
      <c r="B179" s="192" t="s">
        <v>42</v>
      </c>
      <c r="C179" s="192" t="s">
        <v>126</v>
      </c>
      <c r="D179" s="192" t="s">
        <v>6</v>
      </c>
      <c r="E179" s="215">
        <f>E180+E185</f>
        <v>991747.04</v>
      </c>
      <c r="G179" s="263">
        <f>E179/'прил 11 '!F687*100</f>
        <v>0.10327089376829111</v>
      </c>
    </row>
    <row r="180" spans="1:7" ht="36" outlineLevel="1">
      <c r="A180" s="164" t="s">
        <v>43</v>
      </c>
      <c r="B180" s="163" t="s">
        <v>44</v>
      </c>
      <c r="C180" s="163" t="s">
        <v>126</v>
      </c>
      <c r="D180" s="163" t="s">
        <v>6</v>
      </c>
      <c r="E180" s="167">
        <f>E181</f>
        <v>406747.04000000004</v>
      </c>
    </row>
    <row r="181" spans="1:7" outlineLevel="3">
      <c r="A181" s="164" t="s">
        <v>198</v>
      </c>
      <c r="B181" s="163" t="s">
        <v>44</v>
      </c>
      <c r="C181" s="163" t="s">
        <v>127</v>
      </c>
      <c r="D181" s="163" t="s">
        <v>6</v>
      </c>
      <c r="E181" s="167">
        <f>E182</f>
        <v>406747.04000000004</v>
      </c>
    </row>
    <row r="182" spans="1:7" ht="19.5" customHeight="1" outlineLevel="4">
      <c r="A182" s="164" t="s">
        <v>45</v>
      </c>
      <c r="B182" s="163" t="s">
        <v>44</v>
      </c>
      <c r="C182" s="163" t="s">
        <v>133</v>
      </c>
      <c r="D182" s="163" t="s">
        <v>6</v>
      </c>
      <c r="E182" s="167">
        <f>E183</f>
        <v>406747.04000000004</v>
      </c>
    </row>
    <row r="183" spans="1:7" ht="17.399999999999999" customHeight="1" outlineLevel="5">
      <c r="A183" s="164" t="s">
        <v>15</v>
      </c>
      <c r="B183" s="163" t="s">
        <v>44</v>
      </c>
      <c r="C183" s="163" t="s">
        <v>133</v>
      </c>
      <c r="D183" s="163" t="s">
        <v>16</v>
      </c>
      <c r="E183" s="167">
        <f>E184</f>
        <v>406747.04000000004</v>
      </c>
    </row>
    <row r="184" spans="1:7" ht="18.75" customHeight="1" outlineLevel="6">
      <c r="A184" s="164" t="s">
        <v>17</v>
      </c>
      <c r="B184" s="163" t="s">
        <v>44</v>
      </c>
      <c r="C184" s="163" t="s">
        <v>133</v>
      </c>
      <c r="D184" s="163" t="s">
        <v>18</v>
      </c>
      <c r="E184" s="167">
        <f>'прил 11 '!F174</f>
        <v>406747.04000000004</v>
      </c>
    </row>
    <row r="185" spans="1:7" outlineLevel="6">
      <c r="A185" s="164" t="s">
        <v>508</v>
      </c>
      <c r="B185" s="163" t="s">
        <v>509</v>
      </c>
      <c r="C185" s="163" t="s">
        <v>126</v>
      </c>
      <c r="D185" s="163" t="s">
        <v>6</v>
      </c>
      <c r="E185" s="167">
        <f>E186</f>
        <v>585000</v>
      </c>
    </row>
    <row r="186" spans="1:7" ht="36" outlineLevel="6">
      <c r="A186" s="164" t="s">
        <v>132</v>
      </c>
      <c r="B186" s="163" t="s">
        <v>509</v>
      </c>
      <c r="C186" s="163" t="s">
        <v>127</v>
      </c>
      <c r="D186" s="163" t="s">
        <v>6</v>
      </c>
      <c r="E186" s="167">
        <f>E187</f>
        <v>585000</v>
      </c>
    </row>
    <row r="187" spans="1:7" ht="36" outlineLevel="6">
      <c r="A187" s="164" t="s">
        <v>510</v>
      </c>
      <c r="B187" s="163" t="s">
        <v>509</v>
      </c>
      <c r="C187" s="163" t="s">
        <v>696</v>
      </c>
      <c r="D187" s="163" t="s">
        <v>6</v>
      </c>
      <c r="E187" s="167">
        <f>E188</f>
        <v>585000</v>
      </c>
    </row>
    <row r="188" spans="1:7" ht="36" outlineLevel="6">
      <c r="A188" s="164" t="s">
        <v>15</v>
      </c>
      <c r="B188" s="163" t="s">
        <v>509</v>
      </c>
      <c r="C188" s="163" t="s">
        <v>696</v>
      </c>
      <c r="D188" s="163" t="s">
        <v>16</v>
      </c>
      <c r="E188" s="167">
        <f>E189</f>
        <v>585000</v>
      </c>
    </row>
    <row r="189" spans="1:7" ht="36" outlineLevel="6">
      <c r="A189" s="164" t="s">
        <v>17</v>
      </c>
      <c r="B189" s="163" t="s">
        <v>509</v>
      </c>
      <c r="C189" s="163" t="s">
        <v>696</v>
      </c>
      <c r="D189" s="163" t="s">
        <v>18</v>
      </c>
      <c r="E189" s="167">
        <f>'прил 11 '!F179</f>
        <v>585000</v>
      </c>
    </row>
    <row r="190" spans="1:7" s="264" customFormat="1">
      <c r="A190" s="164" t="s">
        <v>119</v>
      </c>
      <c r="B190" s="192" t="s">
        <v>46</v>
      </c>
      <c r="C190" s="192" t="s">
        <v>126</v>
      </c>
      <c r="D190" s="192" t="s">
        <v>6</v>
      </c>
      <c r="E190" s="215">
        <f>E191+E197+E208+E220</f>
        <v>37422264.170000002</v>
      </c>
      <c r="G190" s="263">
        <f>E190/'прил 11 '!F687*100</f>
        <v>3.8967907256562087</v>
      </c>
    </row>
    <row r="191" spans="1:7" s="264" customFormat="1">
      <c r="A191" s="164" t="s">
        <v>121</v>
      </c>
      <c r="B191" s="163" t="s">
        <v>122</v>
      </c>
      <c r="C191" s="163" t="s">
        <v>126</v>
      </c>
      <c r="D191" s="163" t="s">
        <v>6</v>
      </c>
      <c r="E191" s="167">
        <f>E192</f>
        <v>324127.09000000003</v>
      </c>
    </row>
    <row r="192" spans="1:7" s="264" customFormat="1">
      <c r="A192" s="164" t="s">
        <v>198</v>
      </c>
      <c r="B192" s="163" t="s">
        <v>122</v>
      </c>
      <c r="C192" s="163" t="s">
        <v>127</v>
      </c>
      <c r="D192" s="163" t="s">
        <v>6</v>
      </c>
      <c r="E192" s="167">
        <f>E193</f>
        <v>324127.09000000003</v>
      </c>
    </row>
    <row r="193" spans="1:5" s="264" customFormat="1">
      <c r="A193" s="164" t="s">
        <v>277</v>
      </c>
      <c r="B193" s="163" t="s">
        <v>122</v>
      </c>
      <c r="C193" s="163" t="s">
        <v>276</v>
      </c>
      <c r="D193" s="163" t="s">
        <v>6</v>
      </c>
      <c r="E193" s="167">
        <f>E194</f>
        <v>324127.09000000003</v>
      </c>
    </row>
    <row r="194" spans="1:5" s="264" customFormat="1" ht="55.5" customHeight="1">
      <c r="A194" s="200" t="s">
        <v>383</v>
      </c>
      <c r="B194" s="163" t="s">
        <v>122</v>
      </c>
      <c r="C194" s="163" t="s">
        <v>286</v>
      </c>
      <c r="D194" s="163" t="s">
        <v>6</v>
      </c>
      <c r="E194" s="167">
        <f>E195</f>
        <v>324127.09000000003</v>
      </c>
    </row>
    <row r="195" spans="1:5" s="264" customFormat="1" ht="18.75" customHeight="1">
      <c r="A195" s="164" t="s">
        <v>15</v>
      </c>
      <c r="B195" s="163" t="s">
        <v>122</v>
      </c>
      <c r="C195" s="163" t="s">
        <v>286</v>
      </c>
      <c r="D195" s="163" t="s">
        <v>16</v>
      </c>
      <c r="E195" s="167">
        <f>E196</f>
        <v>324127.09000000003</v>
      </c>
    </row>
    <row r="196" spans="1:5" s="264" customFormat="1" ht="18" customHeight="1">
      <c r="A196" s="164" t="s">
        <v>17</v>
      </c>
      <c r="B196" s="163" t="s">
        <v>122</v>
      </c>
      <c r="C196" s="163" t="s">
        <v>286</v>
      </c>
      <c r="D196" s="163" t="s">
        <v>18</v>
      </c>
      <c r="E196" s="167">
        <f>'прил 11 '!F186</f>
        <v>324127.09000000003</v>
      </c>
    </row>
    <row r="197" spans="1:5" s="264" customFormat="1">
      <c r="A197" s="164" t="s">
        <v>290</v>
      </c>
      <c r="B197" s="163" t="s">
        <v>291</v>
      </c>
      <c r="C197" s="163" t="s">
        <v>126</v>
      </c>
      <c r="D197" s="163" t="s">
        <v>6</v>
      </c>
      <c r="E197" s="167">
        <f>E198+E205</f>
        <v>103387.08</v>
      </c>
    </row>
    <row r="198" spans="1:5" s="264" customFormat="1" ht="21.15" customHeight="1">
      <c r="A198" s="164" t="s">
        <v>132</v>
      </c>
      <c r="B198" s="163" t="s">
        <v>291</v>
      </c>
      <c r="C198" s="163" t="s">
        <v>127</v>
      </c>
      <c r="D198" s="163" t="s">
        <v>6</v>
      </c>
      <c r="E198" s="167">
        <f>E199</f>
        <v>3387.08</v>
      </c>
    </row>
    <row r="199" spans="1:5" s="264" customFormat="1">
      <c r="A199" s="164" t="s">
        <v>277</v>
      </c>
      <c r="B199" s="163" t="s">
        <v>291</v>
      </c>
      <c r="C199" s="163" t="s">
        <v>276</v>
      </c>
      <c r="D199" s="163" t="s">
        <v>6</v>
      </c>
      <c r="E199" s="167">
        <f>E200</f>
        <v>3387.08</v>
      </c>
    </row>
    <row r="200" spans="1:5" s="264" customFormat="1" ht="76.650000000000006" customHeight="1">
      <c r="A200" s="187" t="s">
        <v>385</v>
      </c>
      <c r="B200" s="163" t="s">
        <v>291</v>
      </c>
      <c r="C200" s="163" t="s">
        <v>384</v>
      </c>
      <c r="D200" s="163" t="s">
        <v>6</v>
      </c>
      <c r="E200" s="167">
        <f>E201</f>
        <v>3387.08</v>
      </c>
    </row>
    <row r="201" spans="1:5" s="264" customFormat="1" ht="17.399999999999999" customHeight="1">
      <c r="A201" s="164" t="s">
        <v>15</v>
      </c>
      <c r="B201" s="163" t="s">
        <v>291</v>
      </c>
      <c r="C201" s="163" t="s">
        <v>384</v>
      </c>
      <c r="D201" s="163" t="s">
        <v>16</v>
      </c>
      <c r="E201" s="167">
        <f>E202</f>
        <v>3387.08</v>
      </c>
    </row>
    <row r="202" spans="1:5" s="264" customFormat="1" ht="21.15" customHeight="1">
      <c r="A202" s="164" t="s">
        <v>17</v>
      </c>
      <c r="B202" s="163" t="s">
        <v>291</v>
      </c>
      <c r="C202" s="163" t="s">
        <v>384</v>
      </c>
      <c r="D202" s="163" t="s">
        <v>18</v>
      </c>
      <c r="E202" s="167">
        <f>'прил 11 '!F192</f>
        <v>3387.08</v>
      </c>
    </row>
    <row r="203" spans="1:5" s="264" customFormat="1" ht="58.65" customHeight="1">
      <c r="A203" s="196" t="s">
        <v>849</v>
      </c>
      <c r="B203" s="163" t="s">
        <v>291</v>
      </c>
      <c r="C203" s="163" t="s">
        <v>320</v>
      </c>
      <c r="D203" s="169" t="s">
        <v>6</v>
      </c>
      <c r="E203" s="167">
        <f>E204</f>
        <v>100000</v>
      </c>
    </row>
    <row r="204" spans="1:5" s="264" customFormat="1" ht="42" customHeight="1">
      <c r="A204" s="164" t="s">
        <v>831</v>
      </c>
      <c r="B204" s="163" t="s">
        <v>291</v>
      </c>
      <c r="C204" s="163" t="s">
        <v>832</v>
      </c>
      <c r="D204" s="169" t="s">
        <v>6</v>
      </c>
      <c r="E204" s="167">
        <f>E205</f>
        <v>100000</v>
      </c>
    </row>
    <row r="205" spans="1:5" s="264" customFormat="1" ht="97.5" customHeight="1">
      <c r="A205" s="164" t="s">
        <v>834</v>
      </c>
      <c r="B205" s="163" t="s">
        <v>291</v>
      </c>
      <c r="C205" s="163" t="s">
        <v>833</v>
      </c>
      <c r="D205" s="169" t="s">
        <v>6</v>
      </c>
      <c r="E205" s="167">
        <f>E206</f>
        <v>100000</v>
      </c>
    </row>
    <row r="206" spans="1:5" s="264" customFormat="1" ht="40.65" customHeight="1">
      <c r="A206" s="164" t="s">
        <v>793</v>
      </c>
      <c r="B206" s="163" t="s">
        <v>291</v>
      </c>
      <c r="C206" s="163" t="s">
        <v>833</v>
      </c>
      <c r="D206" s="169" t="s">
        <v>20</v>
      </c>
      <c r="E206" s="167">
        <f>E207</f>
        <v>100000</v>
      </c>
    </row>
    <row r="207" spans="1:5" s="264" customFormat="1" ht="56.25" customHeight="1">
      <c r="A207" s="164" t="s">
        <v>47</v>
      </c>
      <c r="B207" s="163" t="s">
        <v>291</v>
      </c>
      <c r="C207" s="163" t="s">
        <v>833</v>
      </c>
      <c r="D207" s="169" t="s">
        <v>48</v>
      </c>
      <c r="E207" s="167">
        <f>'прил 11 '!F197</f>
        <v>100000</v>
      </c>
    </row>
    <row r="208" spans="1:5" outlineLevel="6">
      <c r="A208" s="164" t="s">
        <v>49</v>
      </c>
      <c r="B208" s="163" t="s">
        <v>50</v>
      </c>
      <c r="C208" s="163" t="s">
        <v>126</v>
      </c>
      <c r="D208" s="163" t="s">
        <v>6</v>
      </c>
      <c r="E208" s="167">
        <f>E209</f>
        <v>36551150</v>
      </c>
    </row>
    <row r="209" spans="1:5" ht="60" customHeight="1" outlineLevel="6">
      <c r="A209" s="196" t="s">
        <v>879</v>
      </c>
      <c r="B209" s="197" t="s">
        <v>50</v>
      </c>
      <c r="C209" s="197" t="s">
        <v>335</v>
      </c>
      <c r="D209" s="197" t="s">
        <v>6</v>
      </c>
      <c r="E209" s="167">
        <f>E210</f>
        <v>36551150</v>
      </c>
    </row>
    <row r="210" spans="1:5" ht="42" customHeight="1" outlineLevel="6">
      <c r="A210" s="164" t="s">
        <v>336</v>
      </c>
      <c r="B210" s="163" t="s">
        <v>50</v>
      </c>
      <c r="C210" s="163" t="s">
        <v>337</v>
      </c>
      <c r="D210" s="163" t="s">
        <v>6</v>
      </c>
      <c r="E210" s="167">
        <f>E211+E214+E217</f>
        <v>36551150</v>
      </c>
    </row>
    <row r="211" spans="1:5" ht="39.75" customHeight="1" outlineLevel="6">
      <c r="A211" s="206" t="s">
        <v>743</v>
      </c>
      <c r="B211" s="163" t="s">
        <v>50</v>
      </c>
      <c r="C211" s="163" t="s">
        <v>339</v>
      </c>
      <c r="D211" s="163" t="s">
        <v>6</v>
      </c>
      <c r="E211" s="167">
        <f>E212</f>
        <v>36241150</v>
      </c>
    </row>
    <row r="212" spans="1:5" ht="18" customHeight="1" outlineLevel="6">
      <c r="A212" s="164" t="s">
        <v>15</v>
      </c>
      <c r="B212" s="163" t="s">
        <v>50</v>
      </c>
      <c r="C212" s="163" t="s">
        <v>339</v>
      </c>
      <c r="D212" s="163" t="s">
        <v>16</v>
      </c>
      <c r="E212" s="167">
        <f>E213</f>
        <v>36241150</v>
      </c>
    </row>
    <row r="213" spans="1:5" ht="17.399999999999999" customHeight="1" outlineLevel="6">
      <c r="A213" s="164" t="s">
        <v>17</v>
      </c>
      <c r="B213" s="163" t="s">
        <v>50</v>
      </c>
      <c r="C213" s="163" t="s">
        <v>339</v>
      </c>
      <c r="D213" s="163" t="s">
        <v>18</v>
      </c>
      <c r="E213" s="167">
        <f>'прил 11 '!F203</f>
        <v>36241150</v>
      </c>
    </row>
    <row r="214" spans="1:5" ht="72" hidden="1" outlineLevel="6">
      <c r="A214" s="164" t="s">
        <v>571</v>
      </c>
      <c r="B214" s="163" t="s">
        <v>50</v>
      </c>
      <c r="C214" s="163" t="s">
        <v>597</v>
      </c>
      <c r="D214" s="163" t="s">
        <v>6</v>
      </c>
      <c r="E214" s="167">
        <f>E215</f>
        <v>0</v>
      </c>
    </row>
    <row r="215" spans="1:5" ht="36" hidden="1" outlineLevel="6">
      <c r="A215" s="164" t="s">
        <v>15</v>
      </c>
      <c r="B215" s="163" t="s">
        <v>50</v>
      </c>
      <c r="C215" s="163" t="s">
        <v>597</v>
      </c>
      <c r="D215" s="163" t="s">
        <v>16</v>
      </c>
      <c r="E215" s="167">
        <f>E216</f>
        <v>0</v>
      </c>
    </row>
    <row r="216" spans="1:5" ht="36" hidden="1" outlineLevel="6">
      <c r="A216" s="164" t="s">
        <v>17</v>
      </c>
      <c r="B216" s="163" t="s">
        <v>50</v>
      </c>
      <c r="C216" s="163" t="s">
        <v>597</v>
      </c>
      <c r="D216" s="163" t="s">
        <v>18</v>
      </c>
      <c r="E216" s="167">
        <f>'прил 11 '!F206</f>
        <v>0</v>
      </c>
    </row>
    <row r="217" spans="1:5" ht="36" outlineLevel="6">
      <c r="A217" s="164" t="s">
        <v>280</v>
      </c>
      <c r="B217" s="163" t="s">
        <v>50</v>
      </c>
      <c r="C217" s="163" t="s">
        <v>409</v>
      </c>
      <c r="D217" s="163" t="s">
        <v>6</v>
      </c>
      <c r="E217" s="167">
        <f>E218</f>
        <v>310000</v>
      </c>
    </row>
    <row r="218" spans="1:5" ht="17.399999999999999" customHeight="1" outlineLevel="6">
      <c r="A218" s="164" t="s">
        <v>15</v>
      </c>
      <c r="B218" s="163" t="s">
        <v>50</v>
      </c>
      <c r="C218" s="163" t="s">
        <v>409</v>
      </c>
      <c r="D218" s="163" t="s">
        <v>16</v>
      </c>
      <c r="E218" s="167">
        <f>E219</f>
        <v>310000</v>
      </c>
    </row>
    <row r="219" spans="1:5" ht="21.15" customHeight="1" outlineLevel="6">
      <c r="A219" s="164" t="s">
        <v>17</v>
      </c>
      <c r="B219" s="163" t="s">
        <v>50</v>
      </c>
      <c r="C219" s="163" t="s">
        <v>409</v>
      </c>
      <c r="D219" s="163" t="s">
        <v>18</v>
      </c>
      <c r="E219" s="167">
        <f>'прил 11 '!F209</f>
        <v>310000</v>
      </c>
    </row>
    <row r="220" spans="1:5" outlineLevel="1">
      <c r="A220" s="164" t="s">
        <v>52</v>
      </c>
      <c r="B220" s="163" t="s">
        <v>53</v>
      </c>
      <c r="C220" s="163" t="s">
        <v>126</v>
      </c>
      <c r="D220" s="163" t="s">
        <v>6</v>
      </c>
      <c r="E220" s="167">
        <f>E226+E221</f>
        <v>443600</v>
      </c>
    </row>
    <row r="221" spans="1:5" ht="54" outlineLevel="1">
      <c r="A221" s="196" t="s">
        <v>886</v>
      </c>
      <c r="B221" s="163" t="s">
        <v>53</v>
      </c>
      <c r="C221" s="197" t="s">
        <v>412</v>
      </c>
      <c r="D221" s="197" t="s">
        <v>6</v>
      </c>
      <c r="E221" s="167">
        <f>E222</f>
        <v>100000</v>
      </c>
    </row>
    <row r="222" spans="1:5" ht="36" outlineLevel="1">
      <c r="A222" s="164" t="s">
        <v>811</v>
      </c>
      <c r="B222" s="163" t="s">
        <v>53</v>
      </c>
      <c r="C222" s="163" t="s">
        <v>414</v>
      </c>
      <c r="D222" s="163" t="s">
        <v>6</v>
      </c>
      <c r="E222" s="167">
        <f>E223</f>
        <v>100000</v>
      </c>
    </row>
    <row r="223" spans="1:5" ht="84.15" customHeight="1" outlineLevel="1">
      <c r="A223" s="164" t="s">
        <v>802</v>
      </c>
      <c r="B223" s="163" t="s">
        <v>53</v>
      </c>
      <c r="C223" s="163" t="s">
        <v>803</v>
      </c>
      <c r="D223" s="163" t="s">
        <v>6</v>
      </c>
      <c r="E223" s="167">
        <f>E224</f>
        <v>100000</v>
      </c>
    </row>
    <row r="224" spans="1:5" outlineLevel="1">
      <c r="A224" s="164" t="s">
        <v>19</v>
      </c>
      <c r="B224" s="163" t="s">
        <v>53</v>
      </c>
      <c r="C224" s="163" t="s">
        <v>803</v>
      </c>
      <c r="D224" s="163" t="s">
        <v>20</v>
      </c>
      <c r="E224" s="167">
        <f>'прил 11 '!F215</f>
        <v>100000</v>
      </c>
    </row>
    <row r="225" spans="1:7" ht="36" outlineLevel="1">
      <c r="A225" s="164" t="s">
        <v>47</v>
      </c>
      <c r="B225" s="163" t="s">
        <v>53</v>
      </c>
      <c r="C225" s="163" t="s">
        <v>803</v>
      </c>
      <c r="D225" s="163" t="s">
        <v>48</v>
      </c>
      <c r="E225" s="167">
        <f>'прил 11 '!F215</f>
        <v>100000</v>
      </c>
    </row>
    <row r="226" spans="1:7" ht="54" hidden="1" customHeight="1" outlineLevel="1">
      <c r="A226" s="196"/>
      <c r="B226" s="197" t="s">
        <v>53</v>
      </c>
      <c r="C226" s="163" t="s">
        <v>803</v>
      </c>
      <c r="D226" s="163" t="s">
        <v>48</v>
      </c>
      <c r="E226" s="167">
        <f>E228+E232</f>
        <v>343600</v>
      </c>
    </row>
    <row r="227" spans="1:7" ht="56.25" customHeight="1" outlineLevel="1">
      <c r="A227" s="196" t="s">
        <v>877</v>
      </c>
      <c r="B227" s="197" t="s">
        <v>53</v>
      </c>
      <c r="C227" s="163" t="s">
        <v>340</v>
      </c>
      <c r="D227" s="163" t="s">
        <v>6</v>
      </c>
      <c r="E227" s="167">
        <f>E228+E232</f>
        <v>343600</v>
      </c>
    </row>
    <row r="228" spans="1:7" ht="43.5" customHeight="1" outlineLevel="1">
      <c r="A228" s="164" t="s">
        <v>386</v>
      </c>
      <c r="B228" s="163" t="s">
        <v>53</v>
      </c>
      <c r="C228" s="163" t="s">
        <v>341</v>
      </c>
      <c r="D228" s="163" t="s">
        <v>6</v>
      </c>
      <c r="E228" s="167">
        <f>E229</f>
        <v>213600</v>
      </c>
    </row>
    <row r="229" spans="1:7" ht="24.75" customHeight="1" outlineLevel="1">
      <c r="A229" s="164" t="s">
        <v>342</v>
      </c>
      <c r="B229" s="163" t="s">
        <v>53</v>
      </c>
      <c r="C229" s="163" t="s">
        <v>343</v>
      </c>
      <c r="D229" s="163" t="s">
        <v>6</v>
      </c>
      <c r="E229" s="167">
        <f>E230</f>
        <v>213600</v>
      </c>
    </row>
    <row r="230" spans="1:7" ht="16.5" customHeight="1" outlineLevel="1">
      <c r="A230" s="164" t="s">
        <v>15</v>
      </c>
      <c r="B230" s="163" t="s">
        <v>53</v>
      </c>
      <c r="C230" s="163" t="s">
        <v>343</v>
      </c>
      <c r="D230" s="163" t="s">
        <v>16</v>
      </c>
      <c r="E230" s="167">
        <f>E231</f>
        <v>213600</v>
      </c>
    </row>
    <row r="231" spans="1:7" ht="19.5" customHeight="1" outlineLevel="1">
      <c r="A231" s="164" t="s">
        <v>17</v>
      </c>
      <c r="B231" s="163" t="s">
        <v>53</v>
      </c>
      <c r="C231" s="163" t="s">
        <v>343</v>
      </c>
      <c r="D231" s="163" t="s">
        <v>18</v>
      </c>
      <c r="E231" s="167">
        <f>'прил 11 '!F220</f>
        <v>213600</v>
      </c>
    </row>
    <row r="232" spans="1:7" ht="37.5" customHeight="1" outlineLevel="4">
      <c r="A232" s="200" t="s">
        <v>388</v>
      </c>
      <c r="B232" s="163" t="s">
        <v>53</v>
      </c>
      <c r="C232" s="163" t="s">
        <v>387</v>
      </c>
      <c r="D232" s="163" t="s">
        <v>6</v>
      </c>
      <c r="E232" s="167">
        <f>E233</f>
        <v>130000</v>
      </c>
    </row>
    <row r="233" spans="1:7" ht="26.4" customHeight="1" outlineLevel="5">
      <c r="A233" s="164" t="s">
        <v>344</v>
      </c>
      <c r="B233" s="163" t="s">
        <v>53</v>
      </c>
      <c r="C233" s="163" t="s">
        <v>417</v>
      </c>
      <c r="D233" s="163" t="s">
        <v>6</v>
      </c>
      <c r="E233" s="167">
        <f>E234</f>
        <v>130000</v>
      </c>
    </row>
    <row r="234" spans="1:7" ht="18" customHeight="1" outlineLevel="6">
      <c r="A234" s="164" t="s">
        <v>15</v>
      </c>
      <c r="B234" s="163" t="s">
        <v>53</v>
      </c>
      <c r="C234" s="163" t="s">
        <v>417</v>
      </c>
      <c r="D234" s="163" t="s">
        <v>16</v>
      </c>
      <c r="E234" s="167">
        <f>E235</f>
        <v>130000</v>
      </c>
    </row>
    <row r="235" spans="1:7" ht="21.15" customHeight="1" outlineLevel="6">
      <c r="A235" s="164" t="s">
        <v>17</v>
      </c>
      <c r="B235" s="163" t="s">
        <v>53</v>
      </c>
      <c r="C235" s="163" t="s">
        <v>417</v>
      </c>
      <c r="D235" s="163" t="s">
        <v>18</v>
      </c>
      <c r="E235" s="167">
        <f>'прил 11 '!F224</f>
        <v>130000</v>
      </c>
    </row>
    <row r="236" spans="1:7" s="264" customFormat="1">
      <c r="A236" s="164" t="s">
        <v>54</v>
      </c>
      <c r="B236" s="192" t="s">
        <v>55</v>
      </c>
      <c r="C236" s="192" t="s">
        <v>126</v>
      </c>
      <c r="D236" s="192" t="s">
        <v>6</v>
      </c>
      <c r="E236" s="215">
        <f>E237+E248+E286+E335</f>
        <v>98805578.430000007</v>
      </c>
      <c r="G236" s="263">
        <f>E236/'прил 11 '!F687*100</f>
        <v>10.288652229059425</v>
      </c>
    </row>
    <row r="237" spans="1:7" s="264" customFormat="1">
      <c r="A237" s="164" t="s">
        <v>56</v>
      </c>
      <c r="B237" s="163" t="s">
        <v>57</v>
      </c>
      <c r="C237" s="163" t="s">
        <v>126</v>
      </c>
      <c r="D237" s="163" t="s">
        <v>6</v>
      </c>
      <c r="E237" s="167">
        <f>E238+E243</f>
        <v>1500000</v>
      </c>
    </row>
    <row r="238" spans="1:7" s="264" customFormat="1" ht="36.75" customHeight="1">
      <c r="A238" s="196" t="s">
        <v>876</v>
      </c>
      <c r="B238" s="197" t="s">
        <v>57</v>
      </c>
      <c r="C238" s="197" t="s">
        <v>331</v>
      </c>
      <c r="D238" s="197" t="s">
        <v>6</v>
      </c>
      <c r="E238" s="167">
        <f>E239</f>
        <v>1500000</v>
      </c>
    </row>
    <row r="239" spans="1:7" s="264" customFormat="1" ht="36">
      <c r="A239" s="164" t="s">
        <v>345</v>
      </c>
      <c r="B239" s="163" t="s">
        <v>57</v>
      </c>
      <c r="C239" s="163" t="s">
        <v>332</v>
      </c>
      <c r="D239" s="163" t="s">
        <v>6</v>
      </c>
      <c r="E239" s="167">
        <f>E240</f>
        <v>1500000</v>
      </c>
    </row>
    <row r="240" spans="1:7" s="264" customFormat="1">
      <c r="A240" s="164" t="s">
        <v>346</v>
      </c>
      <c r="B240" s="163" t="s">
        <v>57</v>
      </c>
      <c r="C240" s="163" t="s">
        <v>347</v>
      </c>
      <c r="D240" s="163" t="s">
        <v>6</v>
      </c>
      <c r="E240" s="167">
        <f>E241</f>
        <v>1500000</v>
      </c>
    </row>
    <row r="241" spans="1:5" s="264" customFormat="1" ht="17.399999999999999" customHeight="1">
      <c r="A241" s="164" t="s">
        <v>15</v>
      </c>
      <c r="B241" s="163" t="s">
        <v>57</v>
      </c>
      <c r="C241" s="163" t="s">
        <v>347</v>
      </c>
      <c r="D241" s="163" t="s">
        <v>16</v>
      </c>
      <c r="E241" s="167">
        <f>E242</f>
        <v>1500000</v>
      </c>
    </row>
    <row r="242" spans="1:5" s="264" customFormat="1" ht="16.5" customHeight="1">
      <c r="A242" s="164" t="s">
        <v>17</v>
      </c>
      <c r="B242" s="163" t="s">
        <v>57</v>
      </c>
      <c r="C242" s="163" t="s">
        <v>347</v>
      </c>
      <c r="D242" s="163" t="s">
        <v>18</v>
      </c>
      <c r="E242" s="167">
        <f>'прил 11 '!F231</f>
        <v>1500000</v>
      </c>
    </row>
    <row r="243" spans="1:5" s="264" customFormat="1" ht="36" hidden="1">
      <c r="A243" s="164" t="s">
        <v>132</v>
      </c>
      <c r="B243" s="163" t="s">
        <v>57</v>
      </c>
      <c r="C243" s="163" t="s">
        <v>127</v>
      </c>
      <c r="D243" s="163" t="s">
        <v>6</v>
      </c>
      <c r="E243" s="167">
        <f>E244</f>
        <v>0</v>
      </c>
    </row>
    <row r="244" spans="1:5" s="264" customFormat="1" hidden="1">
      <c r="A244" s="164" t="s">
        <v>277</v>
      </c>
      <c r="B244" s="163" t="s">
        <v>57</v>
      </c>
      <c r="C244" s="163" t="s">
        <v>276</v>
      </c>
      <c r="D244" s="163" t="s">
        <v>6</v>
      </c>
      <c r="E244" s="167">
        <f>E245</f>
        <v>0</v>
      </c>
    </row>
    <row r="245" spans="1:5" s="264" customFormat="1" ht="54" hidden="1">
      <c r="A245" s="187" t="s">
        <v>381</v>
      </c>
      <c r="B245" s="163" t="s">
        <v>57</v>
      </c>
      <c r="C245" s="163" t="s">
        <v>511</v>
      </c>
      <c r="D245" s="163" t="s">
        <v>6</v>
      </c>
      <c r="E245" s="167">
        <f>E246</f>
        <v>0</v>
      </c>
    </row>
    <row r="246" spans="1:5" s="264" customFormat="1" ht="36" hidden="1">
      <c r="A246" s="164" t="s">
        <v>15</v>
      </c>
      <c r="B246" s="163" t="s">
        <v>57</v>
      </c>
      <c r="C246" s="163" t="s">
        <v>511</v>
      </c>
      <c r="D246" s="163" t="s">
        <v>16</v>
      </c>
      <c r="E246" s="167">
        <f>E247</f>
        <v>0</v>
      </c>
    </row>
    <row r="247" spans="1:5" s="264" customFormat="1" ht="36" hidden="1">
      <c r="A247" s="164" t="s">
        <v>17</v>
      </c>
      <c r="B247" s="163" t="s">
        <v>57</v>
      </c>
      <c r="C247" s="163" t="s">
        <v>511</v>
      </c>
      <c r="D247" s="163" t="s">
        <v>18</v>
      </c>
      <c r="E247" s="167">
        <v>0</v>
      </c>
    </row>
    <row r="248" spans="1:5" s="264" customFormat="1">
      <c r="A248" s="164" t="s">
        <v>58</v>
      </c>
      <c r="B248" s="163" t="s">
        <v>59</v>
      </c>
      <c r="C248" s="163" t="s">
        <v>126</v>
      </c>
      <c r="D248" s="163" t="s">
        <v>6</v>
      </c>
      <c r="E248" s="167">
        <f>E249</f>
        <v>53288478.189999998</v>
      </c>
    </row>
    <row r="249" spans="1:5" s="264" customFormat="1" ht="39.15" customHeight="1">
      <c r="A249" s="196" t="s">
        <v>348</v>
      </c>
      <c r="B249" s="197" t="s">
        <v>59</v>
      </c>
      <c r="C249" s="197" t="s">
        <v>134</v>
      </c>
      <c r="D249" s="197" t="s">
        <v>6</v>
      </c>
      <c r="E249" s="167">
        <f>E250+E276</f>
        <v>53288478.189999998</v>
      </c>
    </row>
    <row r="250" spans="1:5" s="264" customFormat="1" ht="54">
      <c r="A250" s="164" t="s">
        <v>875</v>
      </c>
      <c r="B250" s="163" t="s">
        <v>59</v>
      </c>
      <c r="C250" s="163" t="s">
        <v>350</v>
      </c>
      <c r="D250" s="163" t="s">
        <v>6</v>
      </c>
      <c r="E250" s="167">
        <f>E251+E258+E261+E264+E267+E273+E270+E280+E283</f>
        <v>53288478.189999998</v>
      </c>
    </row>
    <row r="251" spans="1:5" s="264" customFormat="1" ht="54.75" customHeight="1">
      <c r="A251" s="164" t="s">
        <v>60</v>
      </c>
      <c r="B251" s="163" t="s">
        <v>59</v>
      </c>
      <c r="C251" s="163" t="s">
        <v>351</v>
      </c>
      <c r="D251" s="163" t="s">
        <v>6</v>
      </c>
      <c r="E251" s="167">
        <f>E252+E256+E254</f>
        <v>37810478.189999998</v>
      </c>
    </row>
    <row r="252" spans="1:5" s="264" customFormat="1" ht="21.75" customHeight="1">
      <c r="A252" s="164" t="s">
        <v>15</v>
      </c>
      <c r="B252" s="163" t="s">
        <v>59</v>
      </c>
      <c r="C252" s="163" t="s">
        <v>351</v>
      </c>
      <c r="D252" s="163" t="s">
        <v>16</v>
      </c>
      <c r="E252" s="167">
        <f>E253</f>
        <v>4910000</v>
      </c>
    </row>
    <row r="253" spans="1:5" s="264" customFormat="1" ht="21.75" customHeight="1">
      <c r="A253" s="164" t="s">
        <v>17</v>
      </c>
      <c r="B253" s="163" t="s">
        <v>59</v>
      </c>
      <c r="C253" s="163" t="s">
        <v>351</v>
      </c>
      <c r="D253" s="163" t="s">
        <v>18</v>
      </c>
      <c r="E253" s="167">
        <f>'прил 11 '!F242</f>
        <v>4910000</v>
      </c>
    </row>
    <row r="254" spans="1:5" s="264" customFormat="1" ht="21.75" customHeight="1">
      <c r="A254" s="164" t="s">
        <v>264</v>
      </c>
      <c r="B254" s="163" t="s">
        <v>59</v>
      </c>
      <c r="C254" s="163" t="s">
        <v>351</v>
      </c>
      <c r="D254" s="163" t="s">
        <v>265</v>
      </c>
      <c r="E254" s="167">
        <f>E255</f>
        <v>22900478.190000001</v>
      </c>
    </row>
    <row r="255" spans="1:5" s="264" customFormat="1" ht="21.75" customHeight="1">
      <c r="A255" s="164" t="s">
        <v>266</v>
      </c>
      <c r="B255" s="163" t="s">
        <v>59</v>
      </c>
      <c r="C255" s="163" t="s">
        <v>351</v>
      </c>
      <c r="D255" s="163" t="s">
        <v>267</v>
      </c>
      <c r="E255" s="167">
        <f>'прил 11 '!F244</f>
        <v>22900478.190000001</v>
      </c>
    </row>
    <row r="256" spans="1:5" s="264" customFormat="1" ht="21.75" customHeight="1">
      <c r="A256" s="164" t="s">
        <v>19</v>
      </c>
      <c r="B256" s="163" t="s">
        <v>59</v>
      </c>
      <c r="C256" s="163" t="s">
        <v>351</v>
      </c>
      <c r="D256" s="163" t="s">
        <v>20</v>
      </c>
      <c r="E256" s="167">
        <f>E257</f>
        <v>10000000</v>
      </c>
    </row>
    <row r="257" spans="1:5" s="264" customFormat="1" ht="60" customHeight="1">
      <c r="A257" s="164" t="s">
        <v>47</v>
      </c>
      <c r="B257" s="163" t="s">
        <v>59</v>
      </c>
      <c r="C257" s="163" t="s">
        <v>351</v>
      </c>
      <c r="D257" s="163" t="s">
        <v>48</v>
      </c>
      <c r="E257" s="167">
        <f>'прил 11 '!F246</f>
        <v>10000000</v>
      </c>
    </row>
    <row r="258" spans="1:5" s="264" customFormat="1" ht="36.75" customHeight="1">
      <c r="A258" s="164" t="s">
        <v>250</v>
      </c>
      <c r="B258" s="163" t="s">
        <v>59</v>
      </c>
      <c r="C258" s="163" t="s">
        <v>352</v>
      </c>
      <c r="D258" s="163" t="s">
        <v>6</v>
      </c>
      <c r="E258" s="167">
        <f>E259</f>
        <v>4000000</v>
      </c>
    </row>
    <row r="259" spans="1:5" s="264" customFormat="1">
      <c r="A259" s="164" t="s">
        <v>19</v>
      </c>
      <c r="B259" s="163" t="s">
        <v>59</v>
      </c>
      <c r="C259" s="163" t="s">
        <v>352</v>
      </c>
      <c r="D259" s="163" t="s">
        <v>20</v>
      </c>
      <c r="E259" s="167">
        <f>E260</f>
        <v>4000000</v>
      </c>
    </row>
    <row r="260" spans="1:5" s="264" customFormat="1" ht="38.25" customHeight="1">
      <c r="A260" s="164" t="s">
        <v>47</v>
      </c>
      <c r="B260" s="163" t="s">
        <v>59</v>
      </c>
      <c r="C260" s="163" t="s">
        <v>352</v>
      </c>
      <c r="D260" s="163" t="s">
        <v>48</v>
      </c>
      <c r="E260" s="167">
        <f>'прил 11 '!F249</f>
        <v>4000000</v>
      </c>
    </row>
    <row r="261" spans="1:5" s="264" customFormat="1" ht="36">
      <c r="A261" s="164" t="s">
        <v>262</v>
      </c>
      <c r="B261" s="163" t="s">
        <v>59</v>
      </c>
      <c r="C261" s="163" t="s">
        <v>353</v>
      </c>
      <c r="D261" s="163" t="s">
        <v>6</v>
      </c>
      <c r="E261" s="167">
        <f>E262</f>
        <v>10778000</v>
      </c>
    </row>
    <row r="262" spans="1:5" s="264" customFormat="1">
      <c r="A262" s="164" t="s">
        <v>19</v>
      </c>
      <c r="B262" s="163" t="s">
        <v>59</v>
      </c>
      <c r="C262" s="163" t="s">
        <v>353</v>
      </c>
      <c r="D262" s="163" t="s">
        <v>20</v>
      </c>
      <c r="E262" s="167">
        <f>E263</f>
        <v>10778000</v>
      </c>
    </row>
    <row r="263" spans="1:5" s="264" customFormat="1" ht="57.15" customHeight="1">
      <c r="A263" s="164" t="s">
        <v>47</v>
      </c>
      <c r="B263" s="163" t="s">
        <v>59</v>
      </c>
      <c r="C263" s="163" t="s">
        <v>353</v>
      </c>
      <c r="D263" s="163" t="s">
        <v>48</v>
      </c>
      <c r="E263" s="167">
        <f>'прил 11 '!F252</f>
        <v>10778000</v>
      </c>
    </row>
    <row r="264" spans="1:5" s="264" customFormat="1" ht="0.75" customHeight="1">
      <c r="A264" s="164" t="s">
        <v>299</v>
      </c>
      <c r="B264" s="163" t="s">
        <v>59</v>
      </c>
      <c r="C264" s="163" t="s">
        <v>390</v>
      </c>
      <c r="D264" s="163" t="s">
        <v>6</v>
      </c>
      <c r="E264" s="167">
        <f>E265</f>
        <v>0</v>
      </c>
    </row>
    <row r="265" spans="1:5" s="264" customFormat="1" ht="31.65" hidden="1" customHeight="1">
      <c r="A265" s="164" t="s">
        <v>15</v>
      </c>
      <c r="B265" s="163" t="s">
        <v>59</v>
      </c>
      <c r="C265" s="163" t="s">
        <v>390</v>
      </c>
      <c r="D265" s="163" t="s">
        <v>16</v>
      </c>
      <c r="E265" s="167">
        <f>E266</f>
        <v>0</v>
      </c>
    </row>
    <row r="266" spans="1:5" s="264" customFormat="1" ht="35.4" hidden="1" customHeight="1">
      <c r="A266" s="164" t="s">
        <v>17</v>
      </c>
      <c r="B266" s="163" t="s">
        <v>59</v>
      </c>
      <c r="C266" s="163" t="s">
        <v>390</v>
      </c>
      <c r="D266" s="163" t="s">
        <v>18</v>
      </c>
      <c r="E266" s="167">
        <v>0</v>
      </c>
    </row>
    <row r="267" spans="1:5" s="264" customFormat="1" ht="26.4" hidden="1" customHeight="1">
      <c r="A267" s="164" t="s">
        <v>263</v>
      </c>
      <c r="B267" s="163" t="s">
        <v>59</v>
      </c>
      <c r="C267" s="163" t="s">
        <v>391</v>
      </c>
      <c r="D267" s="163" t="s">
        <v>6</v>
      </c>
      <c r="E267" s="167">
        <f>E268</f>
        <v>0</v>
      </c>
    </row>
    <row r="268" spans="1:5" s="264" customFormat="1" ht="22.65" hidden="1" customHeight="1">
      <c r="A268" s="164" t="s">
        <v>15</v>
      </c>
      <c r="B268" s="163" t="s">
        <v>59</v>
      </c>
      <c r="C268" s="163" t="s">
        <v>391</v>
      </c>
      <c r="D268" s="163" t="s">
        <v>16</v>
      </c>
      <c r="E268" s="167">
        <f>E269</f>
        <v>0</v>
      </c>
    </row>
    <row r="269" spans="1:5" s="264" customFormat="1" ht="27.75" hidden="1" customHeight="1">
      <c r="A269" s="164" t="s">
        <v>17</v>
      </c>
      <c r="B269" s="163" t="s">
        <v>59</v>
      </c>
      <c r="C269" s="163" t="s">
        <v>391</v>
      </c>
      <c r="D269" s="163" t="s">
        <v>18</v>
      </c>
      <c r="E269" s="167">
        <v>0</v>
      </c>
    </row>
    <row r="270" spans="1:5" s="264" customFormat="1" ht="31.65" hidden="1" customHeight="1">
      <c r="A270" s="164" t="s">
        <v>721</v>
      </c>
      <c r="B270" s="163" t="s">
        <v>59</v>
      </c>
      <c r="C270" s="163" t="s">
        <v>722</v>
      </c>
      <c r="D270" s="163" t="s">
        <v>6</v>
      </c>
      <c r="E270" s="167">
        <f>E271</f>
        <v>0</v>
      </c>
    </row>
    <row r="271" spans="1:5" s="264" customFormat="1" ht="30.75" hidden="1" customHeight="1">
      <c r="A271" s="164" t="s">
        <v>15</v>
      </c>
      <c r="B271" s="163" t="s">
        <v>59</v>
      </c>
      <c r="C271" s="163" t="s">
        <v>722</v>
      </c>
      <c r="D271" s="163" t="s">
        <v>16</v>
      </c>
      <c r="E271" s="167">
        <f>E272</f>
        <v>0</v>
      </c>
    </row>
    <row r="272" spans="1:5" s="264" customFormat="1" ht="30.75" hidden="1" customHeight="1">
      <c r="A272" s="164" t="s">
        <v>17</v>
      </c>
      <c r="B272" s="163" t="s">
        <v>59</v>
      </c>
      <c r="C272" s="163" t="s">
        <v>722</v>
      </c>
      <c r="D272" s="163" t="s">
        <v>18</v>
      </c>
      <c r="E272" s="167">
        <v>0</v>
      </c>
    </row>
    <row r="273" spans="1:5" s="264" customFormat="1" ht="27" hidden="1" customHeight="1">
      <c r="A273" s="164" t="s">
        <v>693</v>
      </c>
      <c r="B273" s="163" t="s">
        <v>59</v>
      </c>
      <c r="C273" s="163" t="s">
        <v>692</v>
      </c>
      <c r="D273" s="163" t="s">
        <v>6</v>
      </c>
      <c r="E273" s="167">
        <f>E274</f>
        <v>0</v>
      </c>
    </row>
    <row r="274" spans="1:5" s="264" customFormat="1" ht="28.5" hidden="1" customHeight="1">
      <c r="A274" s="164" t="s">
        <v>15</v>
      </c>
      <c r="B274" s="163" t="s">
        <v>59</v>
      </c>
      <c r="C274" s="163" t="s">
        <v>692</v>
      </c>
      <c r="D274" s="163" t="s">
        <v>16</v>
      </c>
      <c r="E274" s="167">
        <f>E275</f>
        <v>0</v>
      </c>
    </row>
    <row r="275" spans="1:5" s="264" customFormat="1" ht="24.75" hidden="1" customHeight="1">
      <c r="A275" s="164" t="s">
        <v>17</v>
      </c>
      <c r="B275" s="163" t="s">
        <v>59</v>
      </c>
      <c r="C275" s="163" t="s">
        <v>692</v>
      </c>
      <c r="D275" s="163" t="s">
        <v>18</v>
      </c>
      <c r="E275" s="167">
        <v>0</v>
      </c>
    </row>
    <row r="276" spans="1:5" s="264" customFormat="1" ht="27.75" hidden="1" customHeight="1">
      <c r="A276" s="200" t="s">
        <v>456</v>
      </c>
      <c r="B276" s="163" t="s">
        <v>59</v>
      </c>
      <c r="C276" s="163" t="s">
        <v>714</v>
      </c>
      <c r="D276" s="163" t="s">
        <v>6</v>
      </c>
      <c r="E276" s="167">
        <f>E277</f>
        <v>0</v>
      </c>
    </row>
    <row r="277" spans="1:5" s="264" customFormat="1" ht="45" hidden="1" customHeight="1">
      <c r="A277" s="164" t="s">
        <v>461</v>
      </c>
      <c r="B277" s="163" t="s">
        <v>59</v>
      </c>
      <c r="C277" s="163" t="s">
        <v>715</v>
      </c>
      <c r="D277" s="163" t="s">
        <v>6</v>
      </c>
      <c r="E277" s="167">
        <f>E278</f>
        <v>0</v>
      </c>
    </row>
    <row r="278" spans="1:5" s="264" customFormat="1" ht="40.65" hidden="1" customHeight="1">
      <c r="A278" s="164" t="s">
        <v>264</v>
      </c>
      <c r="B278" s="163" t="s">
        <v>59</v>
      </c>
      <c r="C278" s="163" t="s">
        <v>715</v>
      </c>
      <c r="D278" s="163" t="s">
        <v>265</v>
      </c>
      <c r="E278" s="167">
        <f>E279</f>
        <v>0</v>
      </c>
    </row>
    <row r="279" spans="1:5" s="264" customFormat="1" ht="27.75" hidden="1" customHeight="1">
      <c r="A279" s="164" t="s">
        <v>266</v>
      </c>
      <c r="B279" s="163" t="s">
        <v>59</v>
      </c>
      <c r="C279" s="163" t="s">
        <v>715</v>
      </c>
      <c r="D279" s="163" t="s">
        <v>267</v>
      </c>
      <c r="E279" s="167">
        <f>6142440.01-6142440.01</f>
        <v>0</v>
      </c>
    </row>
    <row r="280" spans="1:5" s="264" customFormat="1" ht="26.4" customHeight="1">
      <c r="A280" s="164" t="s">
        <v>461</v>
      </c>
      <c r="B280" s="163" t="s">
        <v>59</v>
      </c>
      <c r="C280" s="163" t="s">
        <v>390</v>
      </c>
      <c r="D280" s="169" t="s">
        <v>6</v>
      </c>
      <c r="E280" s="167">
        <f>E281</f>
        <v>500000</v>
      </c>
    </row>
    <row r="281" spans="1:5" s="264" customFormat="1" ht="25.5" customHeight="1">
      <c r="A281" s="164" t="s">
        <v>264</v>
      </c>
      <c r="B281" s="163" t="s">
        <v>59</v>
      </c>
      <c r="C281" s="163" t="s">
        <v>390</v>
      </c>
      <c r="D281" s="169" t="s">
        <v>16</v>
      </c>
      <c r="E281" s="167">
        <f>E282</f>
        <v>500000</v>
      </c>
    </row>
    <row r="282" spans="1:5" s="264" customFormat="1" ht="26.4" customHeight="1">
      <c r="A282" s="164" t="s">
        <v>266</v>
      </c>
      <c r="B282" s="163" t="s">
        <v>59</v>
      </c>
      <c r="C282" s="163" t="s">
        <v>390</v>
      </c>
      <c r="D282" s="169" t="s">
        <v>18</v>
      </c>
      <c r="E282" s="167">
        <f>'прил 11 '!F255</f>
        <v>500000</v>
      </c>
    </row>
    <row r="283" spans="1:5" s="264" customFormat="1" ht="36.75" customHeight="1">
      <c r="A283" s="164" t="s">
        <v>263</v>
      </c>
      <c r="B283" s="163" t="s">
        <v>59</v>
      </c>
      <c r="C283" s="163" t="s">
        <v>391</v>
      </c>
      <c r="D283" s="169" t="s">
        <v>6</v>
      </c>
      <c r="E283" s="167">
        <f>E284</f>
        <v>200000</v>
      </c>
    </row>
    <row r="284" spans="1:5" s="264" customFormat="1" ht="36.75" customHeight="1">
      <c r="A284" s="164" t="s">
        <v>15</v>
      </c>
      <c r="B284" s="163" t="s">
        <v>59</v>
      </c>
      <c r="C284" s="163" t="s">
        <v>391</v>
      </c>
      <c r="D284" s="169" t="s">
        <v>16</v>
      </c>
      <c r="E284" s="167">
        <f>E285</f>
        <v>200000</v>
      </c>
    </row>
    <row r="285" spans="1:5" s="264" customFormat="1" ht="36.75" customHeight="1">
      <c r="A285" s="164" t="s">
        <v>17</v>
      </c>
      <c r="B285" s="163" t="s">
        <v>59</v>
      </c>
      <c r="C285" s="163" t="s">
        <v>391</v>
      </c>
      <c r="D285" s="169" t="s">
        <v>18</v>
      </c>
      <c r="E285" s="167">
        <f>'прил 11 '!F258</f>
        <v>200000</v>
      </c>
    </row>
    <row r="286" spans="1:5" s="264" customFormat="1" ht="24.75" customHeight="1">
      <c r="A286" s="164" t="s">
        <v>61</v>
      </c>
      <c r="B286" s="163" t="s">
        <v>62</v>
      </c>
      <c r="C286" s="163" t="s">
        <v>126</v>
      </c>
      <c r="D286" s="163" t="s">
        <v>6</v>
      </c>
      <c r="E286" s="167">
        <f>E287+E298+E312</f>
        <v>36556231.480000004</v>
      </c>
    </row>
    <row r="287" spans="1:5" s="264" customFormat="1" ht="58.65" customHeight="1">
      <c r="A287" s="196" t="s">
        <v>874</v>
      </c>
      <c r="B287" s="197" t="s">
        <v>62</v>
      </c>
      <c r="C287" s="197" t="s">
        <v>134</v>
      </c>
      <c r="D287" s="197" t="s">
        <v>6</v>
      </c>
      <c r="E287" s="167">
        <f>E288</f>
        <v>2992316</v>
      </c>
    </row>
    <row r="288" spans="1:5" s="264" customFormat="1">
      <c r="A288" s="164" t="s">
        <v>354</v>
      </c>
      <c r="B288" s="163" t="s">
        <v>62</v>
      </c>
      <c r="C288" s="163" t="s">
        <v>232</v>
      </c>
      <c r="D288" s="163" t="s">
        <v>6</v>
      </c>
      <c r="E288" s="167">
        <f>E289+E295+E292</f>
        <v>2992316</v>
      </c>
    </row>
    <row r="289" spans="1:8" s="264" customFormat="1">
      <c r="A289" s="164" t="s">
        <v>360</v>
      </c>
      <c r="B289" s="163" t="s">
        <v>62</v>
      </c>
      <c r="C289" s="163" t="s">
        <v>462</v>
      </c>
      <c r="D289" s="163" t="s">
        <v>6</v>
      </c>
      <c r="E289" s="167">
        <f>E290</f>
        <v>200000</v>
      </c>
    </row>
    <row r="290" spans="1:8" s="264" customFormat="1" ht="16.5" customHeight="1">
      <c r="A290" s="33" t="s">
        <v>15</v>
      </c>
      <c r="B290" s="163" t="s">
        <v>62</v>
      </c>
      <c r="C290" s="163" t="s">
        <v>462</v>
      </c>
      <c r="D290" s="163" t="s">
        <v>16</v>
      </c>
      <c r="E290" s="167">
        <f>E291</f>
        <v>200000</v>
      </c>
    </row>
    <row r="291" spans="1:8" s="264" customFormat="1" ht="20.25" customHeight="1">
      <c r="A291" s="33" t="s">
        <v>17</v>
      </c>
      <c r="B291" s="163" t="s">
        <v>62</v>
      </c>
      <c r="C291" s="163" t="s">
        <v>462</v>
      </c>
      <c r="D291" s="163" t="s">
        <v>18</v>
      </c>
      <c r="E291" s="167">
        <f>'прил 11 '!F274</f>
        <v>200000</v>
      </c>
    </row>
    <row r="292" spans="1:8" s="264" customFormat="1" ht="45.75" customHeight="1">
      <c r="A292" s="33" t="s">
        <v>782</v>
      </c>
      <c r="B292" s="163" t="s">
        <v>62</v>
      </c>
      <c r="C292" s="163" t="s">
        <v>781</v>
      </c>
      <c r="D292" s="169" t="s">
        <v>6</v>
      </c>
      <c r="E292" s="167">
        <f>E293</f>
        <v>2292316</v>
      </c>
    </row>
    <row r="293" spans="1:8" s="264" customFormat="1" ht="20.25" customHeight="1">
      <c r="A293" s="33" t="s">
        <v>15</v>
      </c>
      <c r="B293" s="163" t="s">
        <v>62</v>
      </c>
      <c r="C293" s="163" t="s">
        <v>781</v>
      </c>
      <c r="D293" s="169" t="s">
        <v>16</v>
      </c>
      <c r="E293" s="167">
        <f>E294</f>
        <v>2292316</v>
      </c>
    </row>
    <row r="294" spans="1:8" s="264" customFormat="1" ht="20.25" customHeight="1">
      <c r="A294" s="33" t="s">
        <v>17</v>
      </c>
      <c r="B294" s="163" t="s">
        <v>62</v>
      </c>
      <c r="C294" s="163" t="s">
        <v>781</v>
      </c>
      <c r="D294" s="169" t="s">
        <v>18</v>
      </c>
      <c r="E294" s="167">
        <f>'прил 11 '!F277</f>
        <v>2292316</v>
      </c>
    </row>
    <row r="295" spans="1:8" s="264" customFormat="1" ht="36">
      <c r="A295" s="164" t="s">
        <v>63</v>
      </c>
      <c r="B295" s="163" t="s">
        <v>62</v>
      </c>
      <c r="C295" s="163" t="s">
        <v>355</v>
      </c>
      <c r="D295" s="163" t="s">
        <v>6</v>
      </c>
      <c r="E295" s="167">
        <f>E296</f>
        <v>500000</v>
      </c>
    </row>
    <row r="296" spans="1:8" s="264" customFormat="1" ht="16.5" customHeight="1">
      <c r="A296" s="164" t="s">
        <v>15</v>
      </c>
      <c r="B296" s="163" t="s">
        <v>62</v>
      </c>
      <c r="C296" s="163" t="s">
        <v>355</v>
      </c>
      <c r="D296" s="163" t="s">
        <v>16</v>
      </c>
      <c r="E296" s="167">
        <f>E297</f>
        <v>500000</v>
      </c>
    </row>
    <row r="297" spans="1:8" s="264" customFormat="1" ht="21.75" customHeight="1">
      <c r="A297" s="164" t="s">
        <v>17</v>
      </c>
      <c r="B297" s="163" t="s">
        <v>62</v>
      </c>
      <c r="C297" s="163" t="s">
        <v>355</v>
      </c>
      <c r="D297" s="163" t="s">
        <v>18</v>
      </c>
      <c r="E297" s="167">
        <f>'прил 11 '!F280</f>
        <v>500000</v>
      </c>
    </row>
    <row r="298" spans="1:8" s="264" customFormat="1" ht="36.75" customHeight="1">
      <c r="A298" s="196" t="s">
        <v>512</v>
      </c>
      <c r="B298" s="197" t="s">
        <v>62</v>
      </c>
      <c r="C298" s="197" t="s">
        <v>513</v>
      </c>
      <c r="D298" s="197" t="s">
        <v>6</v>
      </c>
      <c r="E298" s="167">
        <f>E299</f>
        <v>10857606.060000001</v>
      </c>
    </row>
    <row r="299" spans="1:8" s="264" customFormat="1" ht="36">
      <c r="A299" s="164" t="s">
        <v>514</v>
      </c>
      <c r="B299" s="163" t="s">
        <v>62</v>
      </c>
      <c r="C299" s="163" t="s">
        <v>515</v>
      </c>
      <c r="D299" s="163" t="s">
        <v>6</v>
      </c>
      <c r="E299" s="167">
        <f>E300+E303+E306+E309</f>
        <v>10857606.060000001</v>
      </c>
    </row>
    <row r="300" spans="1:8" s="264" customFormat="1" ht="38.25" customHeight="1">
      <c r="A300" s="164" t="s">
        <v>516</v>
      </c>
      <c r="B300" s="163" t="s">
        <v>62</v>
      </c>
      <c r="C300" s="163" t="s">
        <v>517</v>
      </c>
      <c r="D300" s="163" t="s">
        <v>6</v>
      </c>
      <c r="E300" s="167">
        <f>E301</f>
        <v>1500000</v>
      </c>
    </row>
    <row r="301" spans="1:8" s="264" customFormat="1" ht="38.25" customHeight="1">
      <c r="A301" s="164" t="s">
        <v>15</v>
      </c>
      <c r="B301" s="163" t="s">
        <v>62</v>
      </c>
      <c r="C301" s="163" t="s">
        <v>517</v>
      </c>
      <c r="D301" s="163" t="s">
        <v>16</v>
      </c>
      <c r="E301" s="167">
        <f>E302</f>
        <v>1500000</v>
      </c>
    </row>
    <row r="302" spans="1:8" s="264" customFormat="1" ht="38.25" customHeight="1">
      <c r="A302" s="164" t="s">
        <v>17</v>
      </c>
      <c r="B302" s="163" t="s">
        <v>62</v>
      </c>
      <c r="C302" s="163" t="s">
        <v>517</v>
      </c>
      <c r="D302" s="163" t="s">
        <v>18</v>
      </c>
      <c r="E302" s="167">
        <f>'прил 11 '!F285</f>
        <v>1500000</v>
      </c>
    </row>
    <row r="303" spans="1:8" s="264" customFormat="1" ht="38.25" customHeight="1">
      <c r="A303" s="164" t="s">
        <v>518</v>
      </c>
      <c r="B303" s="163" t="s">
        <v>62</v>
      </c>
      <c r="C303" s="163" t="s">
        <v>519</v>
      </c>
      <c r="D303" s="163" t="s">
        <v>6</v>
      </c>
      <c r="E303" s="167">
        <f>E304</f>
        <v>3621000</v>
      </c>
    </row>
    <row r="304" spans="1:8" s="264" customFormat="1" ht="38.25" customHeight="1">
      <c r="A304" s="164" t="s">
        <v>15</v>
      </c>
      <c r="B304" s="163" t="s">
        <v>62</v>
      </c>
      <c r="C304" s="163" t="s">
        <v>519</v>
      </c>
      <c r="D304" s="163" t="s">
        <v>16</v>
      </c>
      <c r="E304" s="167">
        <f>E305</f>
        <v>3621000</v>
      </c>
      <c r="H304" s="264" t="s">
        <v>51</v>
      </c>
    </row>
    <row r="305" spans="1:9" s="264" customFormat="1" ht="38.25" customHeight="1">
      <c r="A305" s="164" t="s">
        <v>17</v>
      </c>
      <c r="B305" s="163" t="s">
        <v>62</v>
      </c>
      <c r="C305" s="163" t="s">
        <v>519</v>
      </c>
      <c r="D305" s="163" t="s">
        <v>18</v>
      </c>
      <c r="E305" s="167">
        <f>'прил 11 '!F288</f>
        <v>3621000</v>
      </c>
    </row>
    <row r="306" spans="1:9" s="264" customFormat="1" ht="38.25" customHeight="1">
      <c r="A306" s="164" t="s">
        <v>520</v>
      </c>
      <c r="B306" s="163" t="s">
        <v>62</v>
      </c>
      <c r="C306" s="163" t="s">
        <v>521</v>
      </c>
      <c r="D306" s="163" t="s">
        <v>6</v>
      </c>
      <c r="E306" s="167">
        <f>E307</f>
        <v>5676000</v>
      </c>
    </row>
    <row r="307" spans="1:9" s="264" customFormat="1" ht="38.25" customHeight="1">
      <c r="A307" s="164" t="s">
        <v>15</v>
      </c>
      <c r="B307" s="163" t="s">
        <v>62</v>
      </c>
      <c r="C307" s="163" t="s">
        <v>521</v>
      </c>
      <c r="D307" s="163" t="s">
        <v>16</v>
      </c>
      <c r="E307" s="167">
        <f>E308</f>
        <v>5676000</v>
      </c>
      <c r="I307" s="264" t="s">
        <v>51</v>
      </c>
    </row>
    <row r="308" spans="1:9" s="264" customFormat="1" ht="18.75" customHeight="1">
      <c r="A308" s="164" t="s">
        <v>17</v>
      </c>
      <c r="B308" s="163" t="s">
        <v>62</v>
      </c>
      <c r="C308" s="163" t="s">
        <v>521</v>
      </c>
      <c r="D308" s="163" t="s">
        <v>18</v>
      </c>
      <c r="E308" s="167">
        <f>'прил 11 '!F291</f>
        <v>5676000</v>
      </c>
    </row>
    <row r="309" spans="1:9" s="264" customFormat="1" ht="43.5" customHeight="1">
      <c r="A309" s="164" t="s">
        <v>693</v>
      </c>
      <c r="B309" s="163" t="s">
        <v>62</v>
      </c>
      <c r="C309" s="163" t="s">
        <v>905</v>
      </c>
      <c r="D309" s="163" t="s">
        <v>6</v>
      </c>
      <c r="E309" s="167">
        <f>E310</f>
        <v>60606.06</v>
      </c>
    </row>
    <row r="310" spans="1:9" s="264" customFormat="1" ht="21.15" customHeight="1">
      <c r="A310" s="164" t="s">
        <v>15</v>
      </c>
      <c r="B310" s="163" t="s">
        <v>62</v>
      </c>
      <c r="C310" s="163" t="s">
        <v>905</v>
      </c>
      <c r="D310" s="163" t="s">
        <v>16</v>
      </c>
      <c r="E310" s="167">
        <f>E311</f>
        <v>60606.06</v>
      </c>
    </row>
    <row r="311" spans="1:9" s="264" customFormat="1" ht="47.25" customHeight="1">
      <c r="A311" s="164" t="s">
        <v>17</v>
      </c>
      <c r="B311" s="163" t="s">
        <v>62</v>
      </c>
      <c r="C311" s="163" t="s">
        <v>905</v>
      </c>
      <c r="D311" s="163" t="s">
        <v>18</v>
      </c>
      <c r="E311" s="167">
        <f>62000-1393.94</f>
        <v>60606.06</v>
      </c>
    </row>
    <row r="312" spans="1:9" s="264" customFormat="1" ht="54">
      <c r="A312" s="196" t="s">
        <v>522</v>
      </c>
      <c r="B312" s="197" t="s">
        <v>62</v>
      </c>
      <c r="C312" s="197" t="s">
        <v>523</v>
      </c>
      <c r="D312" s="197" t="s">
        <v>6</v>
      </c>
      <c r="E312" s="167">
        <f>E313+E321</f>
        <v>22706309.420000002</v>
      </c>
    </row>
    <row r="313" spans="1:9" s="264" customFormat="1" ht="54">
      <c r="A313" s="196" t="s">
        <v>554</v>
      </c>
      <c r="B313" s="197" t="s">
        <v>62</v>
      </c>
      <c r="C313" s="197" t="s">
        <v>555</v>
      </c>
      <c r="D313" s="197" t="s">
        <v>6</v>
      </c>
      <c r="E313" s="167">
        <f>E314</f>
        <v>6967934.4000000004</v>
      </c>
    </row>
    <row r="314" spans="1:9" s="264" customFormat="1" ht="23.25" customHeight="1">
      <c r="A314" s="164" t="s">
        <v>553</v>
      </c>
      <c r="B314" s="163" t="s">
        <v>62</v>
      </c>
      <c r="C314" s="163" t="s">
        <v>556</v>
      </c>
      <c r="D314" s="163" t="s">
        <v>6</v>
      </c>
      <c r="E314" s="167">
        <f>E315+E318</f>
        <v>6967934.4000000004</v>
      </c>
    </row>
    <row r="315" spans="1:9" s="264" customFormat="1" ht="36">
      <c r="A315" s="164" t="s">
        <v>552</v>
      </c>
      <c r="B315" s="163" t="s">
        <v>62</v>
      </c>
      <c r="C315" s="163" t="s">
        <v>557</v>
      </c>
      <c r="D315" s="163" t="s">
        <v>6</v>
      </c>
      <c r="E315" s="167">
        <f>E316</f>
        <v>6616389.0700000003</v>
      </c>
    </row>
    <row r="316" spans="1:9" s="264" customFormat="1" ht="36">
      <c r="A316" s="164" t="s">
        <v>15</v>
      </c>
      <c r="B316" s="163" t="s">
        <v>62</v>
      </c>
      <c r="C316" s="163" t="s">
        <v>557</v>
      </c>
      <c r="D316" s="163" t="s">
        <v>16</v>
      </c>
      <c r="E316" s="167">
        <f>E317</f>
        <v>6616389.0700000003</v>
      </c>
    </row>
    <row r="317" spans="1:9" s="264" customFormat="1" ht="36">
      <c r="A317" s="164" t="s">
        <v>17</v>
      </c>
      <c r="B317" s="163" t="s">
        <v>62</v>
      </c>
      <c r="C317" s="163" t="s">
        <v>557</v>
      </c>
      <c r="D317" s="163" t="s">
        <v>18</v>
      </c>
      <c r="E317" s="167">
        <f>'прил 11 '!F300</f>
        <v>6616389.0700000003</v>
      </c>
    </row>
    <row r="318" spans="1:9" s="264" customFormat="1" ht="36">
      <c r="A318" s="33" t="s">
        <v>691</v>
      </c>
      <c r="B318" s="163" t="s">
        <v>62</v>
      </c>
      <c r="C318" s="163" t="s">
        <v>738</v>
      </c>
      <c r="D318" s="163" t="s">
        <v>6</v>
      </c>
      <c r="E318" s="167">
        <f>E319</f>
        <v>351545.33</v>
      </c>
    </row>
    <row r="319" spans="1:9" s="264" customFormat="1" ht="36">
      <c r="A319" s="164" t="s">
        <v>15</v>
      </c>
      <c r="B319" s="163" t="s">
        <v>62</v>
      </c>
      <c r="C319" s="163" t="s">
        <v>738</v>
      </c>
      <c r="D319" s="163" t="s">
        <v>16</v>
      </c>
      <c r="E319" s="167">
        <f>E320</f>
        <v>351545.33</v>
      </c>
    </row>
    <row r="320" spans="1:9" s="264" customFormat="1" ht="36">
      <c r="A320" s="164" t="s">
        <v>17</v>
      </c>
      <c r="B320" s="163" t="s">
        <v>62</v>
      </c>
      <c r="C320" s="163" t="s">
        <v>738</v>
      </c>
      <c r="D320" s="163" t="s">
        <v>18</v>
      </c>
      <c r="E320" s="167">
        <f>'прил 11 '!F303</f>
        <v>351545.33</v>
      </c>
    </row>
    <row r="321" spans="1:5" s="264" customFormat="1" ht="36">
      <c r="A321" s="208" t="s">
        <v>558</v>
      </c>
      <c r="B321" s="163" t="s">
        <v>62</v>
      </c>
      <c r="C321" s="197" t="s">
        <v>560</v>
      </c>
      <c r="D321" s="197" t="s">
        <v>6</v>
      </c>
      <c r="E321" s="167">
        <f>E322</f>
        <v>15738375.02</v>
      </c>
    </row>
    <row r="322" spans="1:5" s="264" customFormat="1" ht="36">
      <c r="A322" s="208" t="s">
        <v>559</v>
      </c>
      <c r="B322" s="163" t="s">
        <v>62</v>
      </c>
      <c r="C322" s="197" t="s">
        <v>561</v>
      </c>
      <c r="D322" s="197" t="s">
        <v>6</v>
      </c>
      <c r="E322" s="167">
        <f>E323+E326+E329+E332</f>
        <v>15738375.02</v>
      </c>
    </row>
    <row r="323" spans="1:5" s="264" customFormat="1" ht="58.65" customHeight="1">
      <c r="A323" s="33" t="s">
        <v>573</v>
      </c>
      <c r="B323" s="163" t="s">
        <v>62</v>
      </c>
      <c r="C323" s="163" t="s">
        <v>598</v>
      </c>
      <c r="D323" s="163" t="s">
        <v>6</v>
      </c>
      <c r="E323" s="167">
        <f>E324</f>
        <v>6855579.5599999996</v>
      </c>
    </row>
    <row r="324" spans="1:5" s="264" customFormat="1" ht="36">
      <c r="A324" s="164" t="s">
        <v>15</v>
      </c>
      <c r="B324" s="163" t="s">
        <v>62</v>
      </c>
      <c r="C324" s="163" t="s">
        <v>598</v>
      </c>
      <c r="D324" s="163" t="s">
        <v>16</v>
      </c>
      <c r="E324" s="167">
        <f>E325</f>
        <v>6855579.5599999996</v>
      </c>
    </row>
    <row r="325" spans="1:5" s="264" customFormat="1" ht="36">
      <c r="A325" s="164" t="s">
        <v>17</v>
      </c>
      <c r="B325" s="163" t="s">
        <v>62</v>
      </c>
      <c r="C325" s="163" t="s">
        <v>598</v>
      </c>
      <c r="D325" s="163" t="s">
        <v>18</v>
      </c>
      <c r="E325" s="167">
        <f>'прил 11 '!F308</f>
        <v>6855579.5599999996</v>
      </c>
    </row>
    <row r="326" spans="1:5" s="264" customFormat="1" ht="54">
      <c r="A326" s="33" t="s">
        <v>563</v>
      </c>
      <c r="B326" s="163" t="s">
        <v>62</v>
      </c>
      <c r="C326" s="163" t="s">
        <v>562</v>
      </c>
      <c r="D326" s="163" t="s">
        <v>6</v>
      </c>
      <c r="E326" s="167">
        <f>E327</f>
        <v>403331.62</v>
      </c>
    </row>
    <row r="327" spans="1:5" s="264" customFormat="1" ht="36">
      <c r="A327" s="164" t="s">
        <v>15</v>
      </c>
      <c r="B327" s="163" t="s">
        <v>62</v>
      </c>
      <c r="C327" s="163" t="s">
        <v>562</v>
      </c>
      <c r="D327" s="163" t="s">
        <v>16</v>
      </c>
      <c r="E327" s="167">
        <f>E328</f>
        <v>403331.62</v>
      </c>
    </row>
    <row r="328" spans="1:5" s="264" customFormat="1" ht="36">
      <c r="A328" s="164" t="s">
        <v>17</v>
      </c>
      <c r="B328" s="163" t="s">
        <v>62</v>
      </c>
      <c r="C328" s="163" t="s">
        <v>562</v>
      </c>
      <c r="D328" s="163" t="s">
        <v>18</v>
      </c>
      <c r="E328" s="167">
        <f>'прил 11 '!F311</f>
        <v>403331.62</v>
      </c>
    </row>
    <row r="329" spans="1:5" s="264" customFormat="1" ht="36">
      <c r="A329" s="164" t="s">
        <v>691</v>
      </c>
      <c r="B329" s="163" t="s">
        <v>62</v>
      </c>
      <c r="C329" s="163" t="s">
        <v>690</v>
      </c>
      <c r="D329" s="163" t="s">
        <v>6</v>
      </c>
      <c r="E329" s="167">
        <f>E330</f>
        <v>8479463.8399999999</v>
      </c>
    </row>
    <row r="330" spans="1:5" s="264" customFormat="1" ht="36">
      <c r="A330" s="164" t="s">
        <v>15</v>
      </c>
      <c r="B330" s="163" t="s">
        <v>62</v>
      </c>
      <c r="C330" s="163" t="s">
        <v>690</v>
      </c>
      <c r="D330" s="163" t="s">
        <v>16</v>
      </c>
      <c r="E330" s="167">
        <f>E331</f>
        <v>8479463.8399999999</v>
      </c>
    </row>
    <row r="331" spans="1:5" s="264" customFormat="1" ht="36.75" customHeight="1">
      <c r="A331" s="164" t="s">
        <v>17</v>
      </c>
      <c r="B331" s="163" t="s">
        <v>62</v>
      </c>
      <c r="C331" s="163" t="s">
        <v>690</v>
      </c>
      <c r="D331" s="163" t="s">
        <v>18</v>
      </c>
      <c r="E331" s="167">
        <f>'прил 11 '!F314</f>
        <v>8479463.8399999999</v>
      </c>
    </row>
    <row r="332" spans="1:5" s="264" customFormat="1" ht="36" hidden="1">
      <c r="A332" s="164" t="s">
        <v>693</v>
      </c>
      <c r="B332" s="163" t="s">
        <v>62</v>
      </c>
      <c r="C332" s="163" t="s">
        <v>780</v>
      </c>
      <c r="D332" s="163" t="s">
        <v>6</v>
      </c>
      <c r="E332" s="167">
        <f>E333</f>
        <v>0</v>
      </c>
    </row>
    <row r="333" spans="1:5" s="264" customFormat="1" ht="36" hidden="1">
      <c r="A333" s="164" t="s">
        <v>15</v>
      </c>
      <c r="B333" s="163" t="s">
        <v>62</v>
      </c>
      <c r="C333" s="163" t="s">
        <v>780</v>
      </c>
      <c r="D333" s="163" t="s">
        <v>16</v>
      </c>
      <c r="E333" s="167">
        <f>E334</f>
        <v>0</v>
      </c>
    </row>
    <row r="334" spans="1:5" s="264" customFormat="1" ht="36" hidden="1">
      <c r="A334" s="164" t="s">
        <v>17</v>
      </c>
      <c r="B334" s="163" t="s">
        <v>62</v>
      </c>
      <c r="C334" s="163" t="s">
        <v>780</v>
      </c>
      <c r="D334" s="163" t="s">
        <v>18</v>
      </c>
      <c r="E334" s="167"/>
    </row>
    <row r="335" spans="1:5" s="264" customFormat="1">
      <c r="A335" s="164" t="s">
        <v>292</v>
      </c>
      <c r="B335" s="163" t="s">
        <v>293</v>
      </c>
      <c r="C335" s="163" t="s">
        <v>126</v>
      </c>
      <c r="D335" s="163" t="s">
        <v>6</v>
      </c>
      <c r="E335" s="167">
        <f>E336</f>
        <v>7460868.7599999998</v>
      </c>
    </row>
    <row r="336" spans="1:5" s="264" customFormat="1" ht="54">
      <c r="A336" s="196" t="s">
        <v>872</v>
      </c>
      <c r="B336" s="197" t="s">
        <v>293</v>
      </c>
      <c r="C336" s="197" t="s">
        <v>134</v>
      </c>
      <c r="D336" s="197" t="s">
        <v>6</v>
      </c>
      <c r="E336" s="167">
        <f>E337</f>
        <v>7460868.7599999998</v>
      </c>
    </row>
    <row r="337" spans="1:7" s="264" customFormat="1" ht="36">
      <c r="A337" s="164" t="s">
        <v>873</v>
      </c>
      <c r="B337" s="163" t="s">
        <v>293</v>
      </c>
      <c r="C337" s="163" t="s">
        <v>350</v>
      </c>
      <c r="D337" s="163" t="s">
        <v>6</v>
      </c>
      <c r="E337" s="167">
        <f>E338+E341</f>
        <v>7460868.7599999998</v>
      </c>
    </row>
    <row r="338" spans="1:7" s="264" customFormat="1" ht="36">
      <c r="A338" s="187" t="s">
        <v>569</v>
      </c>
      <c r="B338" s="163" t="s">
        <v>293</v>
      </c>
      <c r="C338" s="163" t="s">
        <v>599</v>
      </c>
      <c r="D338" s="163" t="s">
        <v>6</v>
      </c>
      <c r="E338" s="167">
        <f>E339</f>
        <v>7160868.7599999998</v>
      </c>
    </row>
    <row r="339" spans="1:7" s="264" customFormat="1">
      <c r="A339" s="164" t="s">
        <v>19</v>
      </c>
      <c r="B339" s="163" t="s">
        <v>293</v>
      </c>
      <c r="C339" s="163" t="s">
        <v>599</v>
      </c>
      <c r="D339" s="163" t="s">
        <v>20</v>
      </c>
      <c r="E339" s="167">
        <f>E340</f>
        <v>7160868.7599999998</v>
      </c>
    </row>
    <row r="340" spans="1:7" s="264" customFormat="1" ht="36">
      <c r="A340" s="164" t="s">
        <v>47</v>
      </c>
      <c r="B340" s="163" t="s">
        <v>293</v>
      </c>
      <c r="C340" s="163" t="s">
        <v>599</v>
      </c>
      <c r="D340" s="163" t="s">
        <v>48</v>
      </c>
      <c r="E340" s="167">
        <f>'прил 11 '!F323</f>
        <v>7160868.7599999998</v>
      </c>
    </row>
    <row r="341" spans="1:7" s="264" customFormat="1" ht="36">
      <c r="A341" s="164" t="s">
        <v>306</v>
      </c>
      <c r="B341" s="163" t="s">
        <v>293</v>
      </c>
      <c r="C341" s="163" t="s">
        <v>357</v>
      </c>
      <c r="D341" s="163" t="s">
        <v>6</v>
      </c>
      <c r="E341" s="167">
        <f>E342</f>
        <v>300000</v>
      </c>
    </row>
    <row r="342" spans="1:7" s="264" customFormat="1">
      <c r="A342" s="164" t="s">
        <v>19</v>
      </c>
      <c r="B342" s="163" t="s">
        <v>293</v>
      </c>
      <c r="C342" s="163" t="s">
        <v>357</v>
      </c>
      <c r="D342" s="163" t="s">
        <v>20</v>
      </c>
      <c r="E342" s="167">
        <f>E343</f>
        <v>300000</v>
      </c>
    </row>
    <row r="343" spans="1:7" s="264" customFormat="1" ht="39.15" customHeight="1">
      <c r="A343" s="164" t="s">
        <v>47</v>
      </c>
      <c r="B343" s="163" t="s">
        <v>293</v>
      </c>
      <c r="C343" s="163" t="s">
        <v>357</v>
      </c>
      <c r="D343" s="163" t="s">
        <v>48</v>
      </c>
      <c r="E343" s="167">
        <f>'прил 11 '!F326</f>
        <v>300000</v>
      </c>
    </row>
    <row r="344" spans="1:7" s="264" customFormat="1">
      <c r="A344" s="164" t="s">
        <v>64</v>
      </c>
      <c r="B344" s="192" t="s">
        <v>65</v>
      </c>
      <c r="C344" s="192" t="s">
        <v>126</v>
      </c>
      <c r="D344" s="192" t="s">
        <v>6</v>
      </c>
      <c r="E344" s="215">
        <f>E345</f>
        <v>515000</v>
      </c>
      <c r="G344" s="263">
        <f>E344/'прил 11 '!F687*100</f>
        <v>5.362709254032149E-2</v>
      </c>
    </row>
    <row r="345" spans="1:7" outlineLevel="1">
      <c r="A345" s="164" t="s">
        <v>66</v>
      </c>
      <c r="B345" s="163" t="s">
        <v>67</v>
      </c>
      <c r="C345" s="163" t="s">
        <v>126</v>
      </c>
      <c r="D345" s="163" t="s">
        <v>6</v>
      </c>
      <c r="E345" s="167">
        <f>E346+E355</f>
        <v>515000</v>
      </c>
    </row>
    <row r="346" spans="1:7" ht="36" outlineLevel="2">
      <c r="A346" s="196" t="s">
        <v>887</v>
      </c>
      <c r="B346" s="197" t="s">
        <v>67</v>
      </c>
      <c r="C346" s="197" t="s">
        <v>135</v>
      </c>
      <c r="D346" s="197" t="s">
        <v>6</v>
      </c>
      <c r="E346" s="167">
        <f>E347+E351</f>
        <v>470000</v>
      </c>
    </row>
    <row r="347" spans="1:7" ht="60" customHeight="1" outlineLevel="2">
      <c r="A347" s="164" t="s">
        <v>871</v>
      </c>
      <c r="B347" s="163" t="s">
        <v>67</v>
      </c>
      <c r="C347" s="163" t="s">
        <v>392</v>
      </c>
      <c r="D347" s="163" t="s">
        <v>6</v>
      </c>
      <c r="E347" s="167">
        <f>E348</f>
        <v>440000</v>
      </c>
    </row>
    <row r="348" spans="1:7" ht="20.25" customHeight="1" outlineLevel="4">
      <c r="A348" s="164" t="s">
        <v>244</v>
      </c>
      <c r="B348" s="163" t="s">
        <v>67</v>
      </c>
      <c r="C348" s="163" t="s">
        <v>361</v>
      </c>
      <c r="D348" s="163" t="s">
        <v>6</v>
      </c>
      <c r="E348" s="167">
        <f>E349</f>
        <v>440000</v>
      </c>
    </row>
    <row r="349" spans="1:7" ht="16.5" customHeight="1" outlineLevel="5">
      <c r="A349" s="164" t="s">
        <v>15</v>
      </c>
      <c r="B349" s="163" t="s">
        <v>67</v>
      </c>
      <c r="C349" s="163" t="s">
        <v>361</v>
      </c>
      <c r="D349" s="163" t="s">
        <v>16</v>
      </c>
      <c r="E349" s="167">
        <f>E350</f>
        <v>440000</v>
      </c>
    </row>
    <row r="350" spans="1:7" ht="19.5" customHeight="1" outlineLevel="6">
      <c r="A350" s="164" t="s">
        <v>17</v>
      </c>
      <c r="B350" s="163" t="s">
        <v>67</v>
      </c>
      <c r="C350" s="163" t="s">
        <v>361</v>
      </c>
      <c r="D350" s="163" t="s">
        <v>18</v>
      </c>
      <c r="E350" s="167">
        <f>'прил 11 '!F333</f>
        <v>440000</v>
      </c>
    </row>
    <row r="351" spans="1:7" ht="21.75" customHeight="1" outlineLevel="4">
      <c r="A351" s="164" t="s">
        <v>362</v>
      </c>
      <c r="B351" s="163" t="s">
        <v>67</v>
      </c>
      <c r="C351" s="163" t="s">
        <v>246</v>
      </c>
      <c r="D351" s="163" t="s">
        <v>6</v>
      </c>
      <c r="E351" s="167">
        <f>E352</f>
        <v>30000</v>
      </c>
    </row>
    <row r="352" spans="1:7" outlineLevel="5">
      <c r="A352" s="164" t="s">
        <v>68</v>
      </c>
      <c r="B352" s="163" t="s">
        <v>67</v>
      </c>
      <c r="C352" s="163" t="s">
        <v>245</v>
      </c>
      <c r="D352" s="163" t="s">
        <v>6</v>
      </c>
      <c r="E352" s="167">
        <f>E353</f>
        <v>30000</v>
      </c>
    </row>
    <row r="353" spans="1:7" ht="16.5" customHeight="1" outlineLevel="6">
      <c r="A353" s="164" t="s">
        <v>15</v>
      </c>
      <c r="B353" s="163" t="s">
        <v>67</v>
      </c>
      <c r="C353" s="163" t="s">
        <v>245</v>
      </c>
      <c r="D353" s="163" t="s">
        <v>16</v>
      </c>
      <c r="E353" s="167">
        <f>E354</f>
        <v>30000</v>
      </c>
    </row>
    <row r="354" spans="1:7" ht="21.15" customHeight="1" outlineLevel="6">
      <c r="A354" s="164" t="s">
        <v>17</v>
      </c>
      <c r="B354" s="163" t="s">
        <v>67</v>
      </c>
      <c r="C354" s="163" t="s">
        <v>245</v>
      </c>
      <c r="D354" s="163" t="s">
        <v>18</v>
      </c>
      <c r="E354" s="167">
        <f>'прил 11 '!F337</f>
        <v>30000</v>
      </c>
    </row>
    <row r="355" spans="1:7" ht="72" outlineLevel="6">
      <c r="A355" s="196" t="s">
        <v>888</v>
      </c>
      <c r="B355" s="197" t="s">
        <v>67</v>
      </c>
      <c r="C355" s="197" t="s">
        <v>363</v>
      </c>
      <c r="D355" s="197" t="s">
        <v>6</v>
      </c>
      <c r="E355" s="167">
        <f>E356</f>
        <v>45000</v>
      </c>
    </row>
    <row r="356" spans="1:7" ht="17.399999999999999" customHeight="1" outlineLevel="6">
      <c r="A356" s="164" t="s">
        <v>364</v>
      </c>
      <c r="B356" s="163" t="s">
        <v>67</v>
      </c>
      <c r="C356" s="163" t="s">
        <v>365</v>
      </c>
      <c r="D356" s="163" t="s">
        <v>6</v>
      </c>
      <c r="E356" s="167">
        <f>E357</f>
        <v>45000</v>
      </c>
    </row>
    <row r="357" spans="1:7" outlineLevel="6">
      <c r="A357" s="164" t="s">
        <v>366</v>
      </c>
      <c r="B357" s="163" t="s">
        <v>67</v>
      </c>
      <c r="C357" s="163" t="s">
        <v>367</v>
      </c>
      <c r="D357" s="163" t="s">
        <v>6</v>
      </c>
      <c r="E357" s="167">
        <f>E358</f>
        <v>45000</v>
      </c>
    </row>
    <row r="358" spans="1:7" ht="18" customHeight="1" outlineLevel="6">
      <c r="A358" s="164" t="s">
        <v>15</v>
      </c>
      <c r="B358" s="163" t="s">
        <v>67</v>
      </c>
      <c r="C358" s="163" t="s">
        <v>367</v>
      </c>
      <c r="D358" s="163" t="s">
        <v>16</v>
      </c>
      <c r="E358" s="167">
        <f>E359</f>
        <v>45000</v>
      </c>
    </row>
    <row r="359" spans="1:7" ht="21.75" customHeight="1" outlineLevel="6">
      <c r="A359" s="164" t="s">
        <v>17</v>
      </c>
      <c r="B359" s="163" t="s">
        <v>67</v>
      </c>
      <c r="C359" s="163" t="s">
        <v>367</v>
      </c>
      <c r="D359" s="163" t="s">
        <v>18</v>
      </c>
      <c r="E359" s="167">
        <f>'прил 11 '!F342</f>
        <v>45000</v>
      </c>
    </row>
    <row r="360" spans="1:7" s="264" customFormat="1">
      <c r="A360" s="164" t="s">
        <v>69</v>
      </c>
      <c r="B360" s="192" t="s">
        <v>70</v>
      </c>
      <c r="C360" s="192" t="s">
        <v>126</v>
      </c>
      <c r="D360" s="192" t="s">
        <v>6</v>
      </c>
      <c r="E360" s="215">
        <f>E361+E400+E440+E473+E492</f>
        <v>604183596.35000002</v>
      </c>
      <c r="G360" s="263">
        <f>E360/'прил 11 '!F687*100</f>
        <v>62.913805112244084</v>
      </c>
    </row>
    <row r="361" spans="1:7" outlineLevel="1">
      <c r="A361" s="164" t="s">
        <v>110</v>
      </c>
      <c r="B361" s="163" t="s">
        <v>111</v>
      </c>
      <c r="C361" s="163" t="s">
        <v>126</v>
      </c>
      <c r="D361" s="163" t="s">
        <v>6</v>
      </c>
      <c r="E361" s="167">
        <f>E362</f>
        <v>128334905.53</v>
      </c>
    </row>
    <row r="362" spans="1:7" ht="36" outlineLevel="2">
      <c r="A362" s="196" t="s">
        <v>853</v>
      </c>
      <c r="B362" s="197" t="s">
        <v>111</v>
      </c>
      <c r="C362" s="197" t="s">
        <v>138</v>
      </c>
      <c r="D362" s="197" t="s">
        <v>6</v>
      </c>
      <c r="E362" s="167">
        <f>E363</f>
        <v>128334905.53</v>
      </c>
    </row>
    <row r="363" spans="1:7" ht="36" outlineLevel="3">
      <c r="A363" s="164" t="s">
        <v>862</v>
      </c>
      <c r="B363" s="163" t="s">
        <v>111</v>
      </c>
      <c r="C363" s="163" t="s">
        <v>139</v>
      </c>
      <c r="D363" s="163" t="s">
        <v>6</v>
      </c>
      <c r="E363" s="167">
        <f>E364+E371+E396</f>
        <v>128334905.53</v>
      </c>
    </row>
    <row r="364" spans="1:7" ht="36" outlineLevel="4">
      <c r="A364" s="200" t="s">
        <v>202</v>
      </c>
      <c r="B364" s="163" t="s">
        <v>111</v>
      </c>
      <c r="C364" s="163" t="s">
        <v>219</v>
      </c>
      <c r="D364" s="163" t="s">
        <v>6</v>
      </c>
      <c r="E364" s="167">
        <f>E365+E368</f>
        <v>124730052</v>
      </c>
    </row>
    <row r="365" spans="1:7" ht="38.25" customHeight="1" outlineLevel="5">
      <c r="A365" s="164" t="s">
        <v>113</v>
      </c>
      <c r="B365" s="163" t="s">
        <v>111</v>
      </c>
      <c r="C365" s="163" t="s">
        <v>144</v>
      </c>
      <c r="D365" s="163" t="s">
        <v>6</v>
      </c>
      <c r="E365" s="167">
        <f>E366</f>
        <v>43502848</v>
      </c>
    </row>
    <row r="366" spans="1:7" ht="36" outlineLevel="6">
      <c r="A366" s="164" t="s">
        <v>37</v>
      </c>
      <c r="B366" s="163" t="s">
        <v>111</v>
      </c>
      <c r="C366" s="163" t="s">
        <v>144</v>
      </c>
      <c r="D366" s="163" t="s">
        <v>38</v>
      </c>
      <c r="E366" s="167">
        <f>E367</f>
        <v>43502848</v>
      </c>
    </row>
    <row r="367" spans="1:7" outlineLevel="4">
      <c r="A367" s="164" t="s">
        <v>74</v>
      </c>
      <c r="B367" s="163" t="s">
        <v>111</v>
      </c>
      <c r="C367" s="163" t="s">
        <v>144</v>
      </c>
      <c r="D367" s="163" t="s">
        <v>75</v>
      </c>
      <c r="E367" s="167">
        <f>'прил 11 '!F513</f>
        <v>43502848</v>
      </c>
    </row>
    <row r="368" spans="1:7" ht="57.75" customHeight="1" outlineLevel="5">
      <c r="A368" s="200" t="s">
        <v>397</v>
      </c>
      <c r="B368" s="163" t="s">
        <v>111</v>
      </c>
      <c r="C368" s="163" t="s">
        <v>145</v>
      </c>
      <c r="D368" s="163" t="s">
        <v>6</v>
      </c>
      <c r="E368" s="167">
        <f>E369</f>
        <v>81227204</v>
      </c>
    </row>
    <row r="369" spans="1:5" ht="36" outlineLevel="6">
      <c r="A369" s="164" t="s">
        <v>37</v>
      </c>
      <c r="B369" s="163" t="s">
        <v>111</v>
      </c>
      <c r="C369" s="163" t="s">
        <v>145</v>
      </c>
      <c r="D369" s="163" t="s">
        <v>38</v>
      </c>
      <c r="E369" s="167">
        <f>E370</f>
        <v>81227204</v>
      </c>
    </row>
    <row r="370" spans="1:5" outlineLevel="3">
      <c r="A370" s="164" t="s">
        <v>74</v>
      </c>
      <c r="B370" s="163" t="s">
        <v>111</v>
      </c>
      <c r="C370" s="163" t="s">
        <v>145</v>
      </c>
      <c r="D370" s="163" t="s">
        <v>75</v>
      </c>
      <c r="E370" s="167">
        <f>'прил 11 '!F516</f>
        <v>81227204</v>
      </c>
    </row>
    <row r="371" spans="1:5" ht="40.65" customHeight="1" outlineLevel="3">
      <c r="A371" s="200" t="s">
        <v>203</v>
      </c>
      <c r="B371" s="163" t="s">
        <v>111</v>
      </c>
      <c r="C371" s="163" t="s">
        <v>221</v>
      </c>
      <c r="D371" s="163" t="s">
        <v>6</v>
      </c>
      <c r="E371" s="167">
        <f>E390+E372+E378+E381+E387+E375+E393+E384</f>
        <v>3604853.5300000003</v>
      </c>
    </row>
    <row r="372" spans="1:5" ht="20.25" customHeight="1" outlineLevel="6">
      <c r="A372" s="164" t="s">
        <v>282</v>
      </c>
      <c r="B372" s="163" t="s">
        <v>111</v>
      </c>
      <c r="C372" s="163" t="s">
        <v>283</v>
      </c>
      <c r="D372" s="163" t="s">
        <v>6</v>
      </c>
      <c r="E372" s="167">
        <f>E373</f>
        <v>97500</v>
      </c>
    </row>
    <row r="373" spans="1:5" ht="36" outlineLevel="6">
      <c r="A373" s="164" t="s">
        <v>37</v>
      </c>
      <c r="B373" s="163" t="s">
        <v>111</v>
      </c>
      <c r="C373" s="163" t="s">
        <v>283</v>
      </c>
      <c r="D373" s="163" t="s">
        <v>38</v>
      </c>
      <c r="E373" s="167">
        <f>E374</f>
        <v>97500</v>
      </c>
    </row>
    <row r="374" spans="1:5" outlineLevel="6">
      <c r="A374" s="164" t="s">
        <v>74</v>
      </c>
      <c r="B374" s="163" t="s">
        <v>111</v>
      </c>
      <c r="C374" s="163" t="s">
        <v>283</v>
      </c>
      <c r="D374" s="163" t="s">
        <v>75</v>
      </c>
      <c r="E374" s="167">
        <f>'прил 11 '!F520</f>
        <v>97500</v>
      </c>
    </row>
    <row r="375" spans="1:5" outlineLevel="6">
      <c r="A375" s="164" t="s">
        <v>268</v>
      </c>
      <c r="B375" s="163" t="s">
        <v>111</v>
      </c>
      <c r="C375" s="163" t="s">
        <v>284</v>
      </c>
      <c r="D375" s="163" t="s">
        <v>6</v>
      </c>
      <c r="E375" s="167">
        <f>E376</f>
        <v>152000</v>
      </c>
    </row>
    <row r="376" spans="1:5" ht="36" outlineLevel="6">
      <c r="A376" s="164" t="s">
        <v>37</v>
      </c>
      <c r="B376" s="163" t="s">
        <v>111</v>
      </c>
      <c r="C376" s="163" t="s">
        <v>284</v>
      </c>
      <c r="D376" s="163" t="s">
        <v>38</v>
      </c>
      <c r="E376" s="167">
        <f>E377</f>
        <v>152000</v>
      </c>
    </row>
    <row r="377" spans="1:5" outlineLevel="6">
      <c r="A377" s="164" t="s">
        <v>74</v>
      </c>
      <c r="B377" s="163" t="s">
        <v>111</v>
      </c>
      <c r="C377" s="163" t="s">
        <v>284</v>
      </c>
      <c r="D377" s="163" t="s">
        <v>75</v>
      </c>
      <c r="E377" s="167">
        <f>'прил 11 '!F523</f>
        <v>152000</v>
      </c>
    </row>
    <row r="378" spans="1:5" outlineLevel="6">
      <c r="A378" s="164" t="s">
        <v>311</v>
      </c>
      <c r="B378" s="163" t="s">
        <v>111</v>
      </c>
      <c r="C378" s="163" t="s">
        <v>538</v>
      </c>
      <c r="D378" s="163" t="s">
        <v>6</v>
      </c>
      <c r="E378" s="167">
        <f>E379</f>
        <v>273250</v>
      </c>
    </row>
    <row r="379" spans="1:5" ht="36" outlineLevel="6">
      <c r="A379" s="164" t="s">
        <v>37</v>
      </c>
      <c r="B379" s="163" t="s">
        <v>111</v>
      </c>
      <c r="C379" s="163" t="s">
        <v>538</v>
      </c>
      <c r="D379" s="163" t="s">
        <v>38</v>
      </c>
      <c r="E379" s="167">
        <f>E380</f>
        <v>273250</v>
      </c>
    </row>
    <row r="380" spans="1:5" outlineLevel="6">
      <c r="A380" s="164" t="s">
        <v>74</v>
      </c>
      <c r="B380" s="163" t="s">
        <v>111</v>
      </c>
      <c r="C380" s="163" t="s">
        <v>538</v>
      </c>
      <c r="D380" s="163" t="s">
        <v>75</v>
      </c>
      <c r="E380" s="167">
        <f>'прил 11 '!F526</f>
        <v>273250</v>
      </c>
    </row>
    <row r="381" spans="1:5" ht="36" outlineLevel="6">
      <c r="A381" s="200" t="s">
        <v>459</v>
      </c>
      <c r="B381" s="163" t="s">
        <v>111</v>
      </c>
      <c r="C381" s="163" t="s">
        <v>460</v>
      </c>
      <c r="D381" s="163" t="s">
        <v>6</v>
      </c>
      <c r="E381" s="167">
        <f>E382</f>
        <v>400000</v>
      </c>
    </row>
    <row r="382" spans="1:5" ht="36" outlineLevel="6">
      <c r="A382" s="164" t="s">
        <v>37</v>
      </c>
      <c r="B382" s="163" t="s">
        <v>111</v>
      </c>
      <c r="C382" s="163" t="s">
        <v>460</v>
      </c>
      <c r="D382" s="163" t="s">
        <v>38</v>
      </c>
      <c r="E382" s="167">
        <f>E383</f>
        <v>400000</v>
      </c>
    </row>
    <row r="383" spans="1:5" ht="18" customHeight="1" outlineLevel="6">
      <c r="A383" s="164" t="s">
        <v>74</v>
      </c>
      <c r="B383" s="163" t="s">
        <v>111</v>
      </c>
      <c r="C383" s="163" t="s">
        <v>460</v>
      </c>
      <c r="D383" s="163" t="s">
        <v>75</v>
      </c>
      <c r="E383" s="167">
        <f>'прил 11 '!F529</f>
        <v>400000</v>
      </c>
    </row>
    <row r="384" spans="1:5" ht="41.4" customHeight="1" outlineLevel="6">
      <c r="A384" s="33" t="s">
        <v>845</v>
      </c>
      <c r="B384" s="163" t="s">
        <v>111</v>
      </c>
      <c r="C384" s="163" t="s">
        <v>740</v>
      </c>
      <c r="D384" s="163" t="s">
        <v>6</v>
      </c>
      <c r="E384" s="167">
        <f>E385</f>
        <v>2400000</v>
      </c>
    </row>
    <row r="385" spans="1:5" ht="36" outlineLevel="6">
      <c r="A385" s="164" t="s">
        <v>37</v>
      </c>
      <c r="B385" s="163" t="s">
        <v>111</v>
      </c>
      <c r="C385" s="163" t="s">
        <v>740</v>
      </c>
      <c r="D385" s="163" t="s">
        <v>38</v>
      </c>
      <c r="E385" s="167">
        <f>E386</f>
        <v>2400000</v>
      </c>
    </row>
    <row r="386" spans="1:5" ht="27.75" customHeight="1" outlineLevel="6">
      <c r="A386" s="164" t="s">
        <v>74</v>
      </c>
      <c r="B386" s="163" t="s">
        <v>111</v>
      </c>
      <c r="C386" s="163" t="s">
        <v>740</v>
      </c>
      <c r="D386" s="163" t="s">
        <v>75</v>
      </c>
      <c r="E386" s="167">
        <f>'прил 11 '!F532</f>
        <v>2400000</v>
      </c>
    </row>
    <row r="387" spans="1:5" ht="72" hidden="1" outlineLevel="6">
      <c r="A387" s="187" t="s">
        <v>600</v>
      </c>
      <c r="B387" s="163" t="s">
        <v>111</v>
      </c>
      <c r="C387" s="163" t="s">
        <v>601</v>
      </c>
      <c r="D387" s="163" t="s">
        <v>6</v>
      </c>
      <c r="E387" s="167">
        <f>E388</f>
        <v>0</v>
      </c>
    </row>
    <row r="388" spans="1:5" ht="36" hidden="1" outlineLevel="6">
      <c r="A388" s="164" t="s">
        <v>37</v>
      </c>
      <c r="B388" s="163" t="s">
        <v>111</v>
      </c>
      <c r="C388" s="163" t="s">
        <v>601</v>
      </c>
      <c r="D388" s="163" t="s">
        <v>38</v>
      </c>
      <c r="E388" s="167">
        <f>E389</f>
        <v>0</v>
      </c>
    </row>
    <row r="389" spans="1:5" ht="18" hidden="1" customHeight="1" outlineLevel="6">
      <c r="A389" s="164" t="s">
        <v>74</v>
      </c>
      <c r="B389" s="163" t="s">
        <v>111</v>
      </c>
      <c r="C389" s="163" t="s">
        <v>601</v>
      </c>
      <c r="D389" s="163" t="s">
        <v>75</v>
      </c>
      <c r="E389" s="167">
        <v>0</v>
      </c>
    </row>
    <row r="390" spans="1:5" ht="58.65" hidden="1" customHeight="1" outlineLevel="3">
      <c r="A390" s="187" t="s">
        <v>296</v>
      </c>
      <c r="B390" s="163" t="s">
        <v>111</v>
      </c>
      <c r="C390" s="163" t="s">
        <v>297</v>
      </c>
      <c r="D390" s="163" t="s">
        <v>6</v>
      </c>
      <c r="E390" s="167">
        <f>E391</f>
        <v>0</v>
      </c>
    </row>
    <row r="391" spans="1:5" ht="36" hidden="1" outlineLevel="3">
      <c r="A391" s="164" t="s">
        <v>264</v>
      </c>
      <c r="B391" s="163" t="s">
        <v>111</v>
      </c>
      <c r="C391" s="163" t="s">
        <v>297</v>
      </c>
      <c r="D391" s="163" t="s">
        <v>265</v>
      </c>
      <c r="E391" s="167">
        <f>E392</f>
        <v>0</v>
      </c>
    </row>
    <row r="392" spans="1:5" hidden="1" outlineLevel="3">
      <c r="A392" s="164" t="s">
        <v>266</v>
      </c>
      <c r="B392" s="163" t="s">
        <v>111</v>
      </c>
      <c r="C392" s="163" t="s">
        <v>297</v>
      </c>
      <c r="D392" s="163" t="s">
        <v>267</v>
      </c>
      <c r="E392" s="167">
        <v>0</v>
      </c>
    </row>
    <row r="393" spans="1:5" ht="54" outlineLevel="3">
      <c r="A393" s="164" t="s">
        <v>444</v>
      </c>
      <c r="B393" s="163" t="s">
        <v>111</v>
      </c>
      <c r="C393" s="163" t="s">
        <v>445</v>
      </c>
      <c r="D393" s="163" t="s">
        <v>6</v>
      </c>
      <c r="E393" s="167">
        <f>E394</f>
        <v>282103.53000000003</v>
      </c>
    </row>
    <row r="394" spans="1:5" ht="36" outlineLevel="3">
      <c r="A394" s="164" t="s">
        <v>37</v>
      </c>
      <c r="B394" s="163" t="s">
        <v>111</v>
      </c>
      <c r="C394" s="163" t="s">
        <v>445</v>
      </c>
      <c r="D394" s="163" t="s">
        <v>38</v>
      </c>
      <c r="E394" s="167">
        <f>E395</f>
        <v>282103.53000000003</v>
      </c>
    </row>
    <row r="395" spans="1:5" ht="18" customHeight="1" outlineLevel="3">
      <c r="A395" s="164" t="s">
        <v>74</v>
      </c>
      <c r="B395" s="163" t="s">
        <v>111</v>
      </c>
      <c r="C395" s="163" t="s">
        <v>445</v>
      </c>
      <c r="D395" s="163" t="s">
        <v>75</v>
      </c>
      <c r="E395" s="167">
        <f>'прил 11 '!F538</f>
        <v>282103.53000000003</v>
      </c>
    </row>
    <row r="396" spans="1:5" ht="54" hidden="1" outlineLevel="3">
      <c r="A396" s="201" t="s">
        <v>602</v>
      </c>
      <c r="B396" s="163" t="s">
        <v>111</v>
      </c>
      <c r="C396" s="163" t="s">
        <v>603</v>
      </c>
      <c r="D396" s="163" t="s">
        <v>6</v>
      </c>
      <c r="E396" s="167">
        <f>E397</f>
        <v>0</v>
      </c>
    </row>
    <row r="397" spans="1:5" ht="90" hidden="1" outlineLevel="3">
      <c r="A397" s="200" t="s">
        <v>567</v>
      </c>
      <c r="B397" s="163" t="s">
        <v>111</v>
      </c>
      <c r="C397" s="163" t="s">
        <v>686</v>
      </c>
      <c r="D397" s="163" t="s">
        <v>6</v>
      </c>
      <c r="E397" s="167">
        <f>E398</f>
        <v>0</v>
      </c>
    </row>
    <row r="398" spans="1:5" ht="36" hidden="1" outlineLevel="3">
      <c r="A398" s="164" t="s">
        <v>264</v>
      </c>
      <c r="B398" s="163" t="s">
        <v>111</v>
      </c>
      <c r="C398" s="163" t="s">
        <v>686</v>
      </c>
      <c r="D398" s="163" t="s">
        <v>265</v>
      </c>
      <c r="E398" s="167">
        <f>E399</f>
        <v>0</v>
      </c>
    </row>
    <row r="399" spans="1:5" hidden="1" outlineLevel="3">
      <c r="A399" s="164" t="s">
        <v>266</v>
      </c>
      <c r="B399" s="163" t="s">
        <v>111</v>
      </c>
      <c r="C399" s="163" t="s">
        <v>686</v>
      </c>
      <c r="D399" s="163" t="s">
        <v>267</v>
      </c>
      <c r="E399" s="167">
        <v>0</v>
      </c>
    </row>
    <row r="400" spans="1:5" ht="24.75" customHeight="1" outlineLevel="1" collapsed="1">
      <c r="A400" s="164" t="s">
        <v>71</v>
      </c>
      <c r="B400" s="163" t="s">
        <v>72</v>
      </c>
      <c r="C400" s="163" t="s">
        <v>126</v>
      </c>
      <c r="D400" s="163" t="s">
        <v>6</v>
      </c>
      <c r="E400" s="167">
        <f>E401</f>
        <v>408412468.24000001</v>
      </c>
    </row>
    <row r="401" spans="1:5" ht="36" outlineLevel="2">
      <c r="A401" s="196" t="s">
        <v>853</v>
      </c>
      <c r="B401" s="197" t="s">
        <v>72</v>
      </c>
      <c r="C401" s="197" t="s">
        <v>138</v>
      </c>
      <c r="D401" s="197" t="s">
        <v>6</v>
      </c>
      <c r="E401" s="167">
        <f>E402</f>
        <v>408412468.24000001</v>
      </c>
    </row>
    <row r="402" spans="1:5" ht="36" outlineLevel="3">
      <c r="A402" s="164" t="s">
        <v>859</v>
      </c>
      <c r="B402" s="163" t="s">
        <v>72</v>
      </c>
      <c r="C402" s="163" t="s">
        <v>146</v>
      </c>
      <c r="D402" s="163" t="s">
        <v>6</v>
      </c>
      <c r="E402" s="167">
        <f>E403+E416+E432+E436</f>
        <v>408412468.24000001</v>
      </c>
    </row>
    <row r="403" spans="1:5" ht="36" outlineLevel="4">
      <c r="A403" s="200" t="s">
        <v>205</v>
      </c>
      <c r="B403" s="163" t="s">
        <v>72</v>
      </c>
      <c r="C403" s="163" t="s">
        <v>222</v>
      </c>
      <c r="D403" s="163" t="s">
        <v>6</v>
      </c>
      <c r="E403" s="167">
        <f>E404+E407+E410+E413</f>
        <v>363408028.19999999</v>
      </c>
    </row>
    <row r="404" spans="1:5" ht="54" outlineLevel="4">
      <c r="A404" s="33" t="s">
        <v>604</v>
      </c>
      <c r="B404" s="163" t="s">
        <v>72</v>
      </c>
      <c r="C404" s="163" t="s">
        <v>605</v>
      </c>
      <c r="D404" s="163" t="s">
        <v>6</v>
      </c>
      <c r="E404" s="167">
        <f>E405</f>
        <v>20475000</v>
      </c>
    </row>
    <row r="405" spans="1:5" ht="36" outlineLevel="4">
      <c r="A405" s="164" t="s">
        <v>37</v>
      </c>
      <c r="B405" s="163" t="s">
        <v>72</v>
      </c>
      <c r="C405" s="163" t="s">
        <v>605</v>
      </c>
      <c r="D405" s="163" t="s">
        <v>38</v>
      </c>
      <c r="E405" s="167">
        <f>E406</f>
        <v>20475000</v>
      </c>
    </row>
    <row r="406" spans="1:5" outlineLevel="4">
      <c r="A406" s="164" t="s">
        <v>74</v>
      </c>
      <c r="B406" s="163" t="s">
        <v>72</v>
      </c>
      <c r="C406" s="163" t="s">
        <v>605</v>
      </c>
      <c r="D406" s="163" t="s">
        <v>75</v>
      </c>
      <c r="E406" s="167">
        <f>'прил 11 '!F549</f>
        <v>20475000</v>
      </c>
    </row>
    <row r="407" spans="1:5" ht="40.65" customHeight="1" outlineLevel="5">
      <c r="A407" s="164" t="s">
        <v>114</v>
      </c>
      <c r="B407" s="163" t="s">
        <v>72</v>
      </c>
      <c r="C407" s="163" t="s">
        <v>147</v>
      </c>
      <c r="D407" s="163" t="s">
        <v>6</v>
      </c>
      <c r="E407" s="167">
        <f>E408</f>
        <v>93113413</v>
      </c>
    </row>
    <row r="408" spans="1:5" ht="36" outlineLevel="6">
      <c r="A408" s="164" t="s">
        <v>37</v>
      </c>
      <c r="B408" s="163" t="s">
        <v>72</v>
      </c>
      <c r="C408" s="163" t="s">
        <v>147</v>
      </c>
      <c r="D408" s="163" t="s">
        <v>38</v>
      </c>
      <c r="E408" s="167">
        <f>E409</f>
        <v>93113413</v>
      </c>
    </row>
    <row r="409" spans="1:5" outlineLevel="4">
      <c r="A409" s="164" t="s">
        <v>74</v>
      </c>
      <c r="B409" s="163" t="s">
        <v>72</v>
      </c>
      <c r="C409" s="163" t="s">
        <v>147</v>
      </c>
      <c r="D409" s="163" t="s">
        <v>75</v>
      </c>
      <c r="E409" s="167">
        <f>'прил 11 '!F552</f>
        <v>93113413</v>
      </c>
    </row>
    <row r="410" spans="1:5" ht="75.75" customHeight="1" outlineLevel="5">
      <c r="A410" s="200" t="s">
        <v>400</v>
      </c>
      <c r="B410" s="163" t="s">
        <v>72</v>
      </c>
      <c r="C410" s="163" t="s">
        <v>148</v>
      </c>
      <c r="D410" s="163" t="s">
        <v>6</v>
      </c>
      <c r="E410" s="167">
        <f>E411</f>
        <v>238943015.19999999</v>
      </c>
    </row>
    <row r="411" spans="1:5" ht="36" outlineLevel="6">
      <c r="A411" s="164" t="s">
        <v>37</v>
      </c>
      <c r="B411" s="163" t="s">
        <v>72</v>
      </c>
      <c r="C411" s="163" t="s">
        <v>148</v>
      </c>
      <c r="D411" s="163" t="s">
        <v>38</v>
      </c>
      <c r="E411" s="167">
        <f>E412</f>
        <v>238943015.19999999</v>
      </c>
    </row>
    <row r="412" spans="1:5" outlineLevel="6">
      <c r="A412" s="164" t="s">
        <v>74</v>
      </c>
      <c r="B412" s="163" t="s">
        <v>72</v>
      </c>
      <c r="C412" s="163" t="s">
        <v>148</v>
      </c>
      <c r="D412" s="163" t="s">
        <v>75</v>
      </c>
      <c r="E412" s="167">
        <f>'прил 11 '!F555</f>
        <v>238943015.19999999</v>
      </c>
    </row>
    <row r="413" spans="1:5" ht="78" customHeight="1" outlineLevel="6">
      <c r="A413" s="33" t="s">
        <v>471</v>
      </c>
      <c r="B413" s="163" t="s">
        <v>72</v>
      </c>
      <c r="C413" s="163" t="s">
        <v>472</v>
      </c>
      <c r="D413" s="163" t="s">
        <v>6</v>
      </c>
      <c r="E413" s="167">
        <f>E414</f>
        <v>10876600</v>
      </c>
    </row>
    <row r="414" spans="1:5" ht="36" outlineLevel="6">
      <c r="A414" s="164" t="s">
        <v>37</v>
      </c>
      <c r="B414" s="163" t="s">
        <v>72</v>
      </c>
      <c r="C414" s="163" t="s">
        <v>472</v>
      </c>
      <c r="D414" s="163" t="s">
        <v>38</v>
      </c>
      <c r="E414" s="167">
        <f>E415</f>
        <v>10876600</v>
      </c>
    </row>
    <row r="415" spans="1:5" outlineLevel="6">
      <c r="A415" s="164" t="s">
        <v>74</v>
      </c>
      <c r="B415" s="163" t="s">
        <v>72</v>
      </c>
      <c r="C415" s="163" t="s">
        <v>472</v>
      </c>
      <c r="D415" s="163" t="s">
        <v>75</v>
      </c>
      <c r="E415" s="167">
        <f>'прил 11 '!F558</f>
        <v>10876600</v>
      </c>
    </row>
    <row r="416" spans="1:5" ht="19.5" customHeight="1" outlineLevel="6">
      <c r="A416" s="200" t="s">
        <v>206</v>
      </c>
      <c r="B416" s="163" t="s">
        <v>72</v>
      </c>
      <c r="C416" s="163" t="s">
        <v>220</v>
      </c>
      <c r="D416" s="163" t="s">
        <v>6</v>
      </c>
      <c r="E416" s="167">
        <f>E417+E420+E426+E429+E423</f>
        <v>38886990.039999999</v>
      </c>
    </row>
    <row r="417" spans="1:5" outlineLevel="6">
      <c r="A417" s="164" t="s">
        <v>268</v>
      </c>
      <c r="B417" s="163" t="s">
        <v>72</v>
      </c>
      <c r="C417" s="163" t="s">
        <v>269</v>
      </c>
      <c r="D417" s="163" t="s">
        <v>6</v>
      </c>
      <c r="E417" s="167">
        <f>E418</f>
        <v>212800</v>
      </c>
    </row>
    <row r="418" spans="1:5" ht="36" outlineLevel="6">
      <c r="A418" s="164" t="s">
        <v>37</v>
      </c>
      <c r="B418" s="163" t="s">
        <v>72</v>
      </c>
      <c r="C418" s="163" t="s">
        <v>269</v>
      </c>
      <c r="D418" s="163" t="s">
        <v>38</v>
      </c>
      <c r="E418" s="167">
        <f>E419</f>
        <v>212800</v>
      </c>
    </row>
    <row r="419" spans="1:5" outlineLevel="6">
      <c r="A419" s="164" t="s">
        <v>74</v>
      </c>
      <c r="B419" s="163" t="s">
        <v>72</v>
      </c>
      <c r="C419" s="163" t="s">
        <v>269</v>
      </c>
      <c r="D419" s="163" t="s">
        <v>75</v>
      </c>
      <c r="E419" s="167">
        <f>'прил 11 '!F562</f>
        <v>212800</v>
      </c>
    </row>
    <row r="420" spans="1:5" outlineLevel="6">
      <c r="A420" s="221" t="s">
        <v>311</v>
      </c>
      <c r="B420" s="163" t="s">
        <v>72</v>
      </c>
      <c r="C420" s="163" t="s">
        <v>312</v>
      </c>
      <c r="D420" s="163" t="s">
        <v>6</v>
      </c>
      <c r="E420" s="167">
        <f>E421</f>
        <v>350000</v>
      </c>
    </row>
    <row r="421" spans="1:5" ht="36" outlineLevel="6">
      <c r="A421" s="164" t="s">
        <v>37</v>
      </c>
      <c r="B421" s="163" t="s">
        <v>72</v>
      </c>
      <c r="C421" s="163" t="s">
        <v>312</v>
      </c>
      <c r="D421" s="163" t="s">
        <v>38</v>
      </c>
      <c r="E421" s="167">
        <f>E422</f>
        <v>350000</v>
      </c>
    </row>
    <row r="422" spans="1:5" outlineLevel="6">
      <c r="A422" s="164" t="s">
        <v>74</v>
      </c>
      <c r="B422" s="163" t="s">
        <v>72</v>
      </c>
      <c r="C422" s="163" t="s">
        <v>312</v>
      </c>
      <c r="D422" s="163" t="s">
        <v>75</v>
      </c>
      <c r="E422" s="167">
        <f>'прил 11 '!F565</f>
        <v>350000</v>
      </c>
    </row>
    <row r="423" spans="1:5" ht="36" outlineLevel="6">
      <c r="A423" s="200" t="s">
        <v>459</v>
      </c>
      <c r="B423" s="163" t="s">
        <v>72</v>
      </c>
      <c r="C423" s="163" t="s">
        <v>734</v>
      </c>
      <c r="D423" s="163" t="s">
        <v>6</v>
      </c>
      <c r="E423" s="167">
        <f>E424</f>
        <v>590000</v>
      </c>
    </row>
    <row r="424" spans="1:5" ht="36" outlineLevel="6">
      <c r="A424" s="164" t="s">
        <v>37</v>
      </c>
      <c r="B424" s="163" t="s">
        <v>72</v>
      </c>
      <c r="C424" s="163" t="s">
        <v>734</v>
      </c>
      <c r="D424" s="163" t="s">
        <v>38</v>
      </c>
      <c r="E424" s="167">
        <f>E425</f>
        <v>590000</v>
      </c>
    </row>
    <row r="425" spans="1:5" outlineLevel="6">
      <c r="A425" s="164" t="s">
        <v>74</v>
      </c>
      <c r="B425" s="163" t="s">
        <v>72</v>
      </c>
      <c r="C425" s="163" t="s">
        <v>734</v>
      </c>
      <c r="D425" s="163" t="s">
        <v>75</v>
      </c>
      <c r="E425" s="167">
        <f>'прил 11 '!F568</f>
        <v>590000</v>
      </c>
    </row>
    <row r="426" spans="1:5" ht="54" outlineLevel="6">
      <c r="A426" s="33" t="s">
        <v>606</v>
      </c>
      <c r="B426" s="163" t="s">
        <v>72</v>
      </c>
      <c r="C426" s="163" t="s">
        <v>607</v>
      </c>
      <c r="D426" s="163" t="s">
        <v>6</v>
      </c>
      <c r="E426" s="167">
        <f>E427</f>
        <v>36003230.039999999</v>
      </c>
    </row>
    <row r="427" spans="1:5" ht="36" outlineLevel="6">
      <c r="A427" s="164" t="s">
        <v>37</v>
      </c>
      <c r="B427" s="163" t="s">
        <v>72</v>
      </c>
      <c r="C427" s="163" t="s">
        <v>607</v>
      </c>
      <c r="D427" s="163" t="s">
        <v>38</v>
      </c>
      <c r="E427" s="167">
        <f>E428</f>
        <v>36003230.039999999</v>
      </c>
    </row>
    <row r="428" spans="1:5" outlineLevel="6">
      <c r="A428" s="164" t="s">
        <v>74</v>
      </c>
      <c r="B428" s="163" t="s">
        <v>72</v>
      </c>
      <c r="C428" s="163" t="s">
        <v>607</v>
      </c>
      <c r="D428" s="163" t="s">
        <v>75</v>
      </c>
      <c r="E428" s="167">
        <f>'прил 11 '!F571</f>
        <v>36003230.039999999</v>
      </c>
    </row>
    <row r="429" spans="1:5" ht="20.25" customHeight="1" outlineLevel="6">
      <c r="A429" s="164" t="s">
        <v>446</v>
      </c>
      <c r="B429" s="163" t="s">
        <v>72</v>
      </c>
      <c r="C429" s="163" t="s">
        <v>447</v>
      </c>
      <c r="D429" s="163" t="s">
        <v>6</v>
      </c>
      <c r="E429" s="167">
        <f>E430</f>
        <v>1730960</v>
      </c>
    </row>
    <row r="430" spans="1:5" ht="39.15" customHeight="1" outlineLevel="6">
      <c r="A430" s="164" t="s">
        <v>37</v>
      </c>
      <c r="B430" s="163" t="s">
        <v>72</v>
      </c>
      <c r="C430" s="163" t="s">
        <v>447</v>
      </c>
      <c r="D430" s="163" t="s">
        <v>38</v>
      </c>
      <c r="E430" s="167">
        <f>E431</f>
        <v>1730960</v>
      </c>
    </row>
    <row r="431" spans="1:5" outlineLevel="6">
      <c r="A431" s="164" t="s">
        <v>74</v>
      </c>
      <c r="B431" s="163" t="s">
        <v>72</v>
      </c>
      <c r="C431" s="163" t="s">
        <v>447</v>
      </c>
      <c r="D431" s="163" t="s">
        <v>75</v>
      </c>
      <c r="E431" s="167">
        <f>'прил 11 '!F574</f>
        <v>1730960</v>
      </c>
    </row>
    <row r="432" spans="1:5" ht="36" outlineLevel="6">
      <c r="A432" s="200" t="s">
        <v>275</v>
      </c>
      <c r="B432" s="163" t="s">
        <v>72</v>
      </c>
      <c r="C432" s="163" t="s">
        <v>223</v>
      </c>
      <c r="D432" s="163" t="s">
        <v>6</v>
      </c>
      <c r="E432" s="167">
        <f>E433</f>
        <v>6117450</v>
      </c>
    </row>
    <row r="433" spans="1:5" ht="90" outlineLevel="6">
      <c r="A433" s="222" t="s">
        <v>669</v>
      </c>
      <c r="B433" s="163" t="s">
        <v>72</v>
      </c>
      <c r="C433" s="163" t="s">
        <v>670</v>
      </c>
      <c r="D433" s="163" t="s">
        <v>6</v>
      </c>
      <c r="E433" s="167">
        <f>E434</f>
        <v>6117450</v>
      </c>
    </row>
    <row r="434" spans="1:5" ht="36" outlineLevel="6">
      <c r="A434" s="164" t="s">
        <v>37</v>
      </c>
      <c r="B434" s="163" t="s">
        <v>72</v>
      </c>
      <c r="C434" s="163" t="s">
        <v>670</v>
      </c>
      <c r="D434" s="163" t="s">
        <v>38</v>
      </c>
      <c r="E434" s="167">
        <f>E435</f>
        <v>6117450</v>
      </c>
    </row>
    <row r="435" spans="1:5" ht="18.75" customHeight="1" outlineLevel="6">
      <c r="A435" s="164" t="s">
        <v>74</v>
      </c>
      <c r="B435" s="163" t="s">
        <v>72</v>
      </c>
      <c r="C435" s="163" t="s">
        <v>670</v>
      </c>
      <c r="D435" s="163" t="s">
        <v>75</v>
      </c>
      <c r="E435" s="167">
        <f>'прил 11 '!F578</f>
        <v>6117450</v>
      </c>
    </row>
    <row r="436" spans="1:5" hidden="1" outlineLevel="6">
      <c r="A436" s="33" t="s">
        <v>469</v>
      </c>
      <c r="B436" s="163" t="s">
        <v>72</v>
      </c>
      <c r="C436" s="163" t="s">
        <v>313</v>
      </c>
      <c r="D436" s="163" t="s">
        <v>6</v>
      </c>
      <c r="E436" s="167">
        <f>E437</f>
        <v>0</v>
      </c>
    </row>
    <row r="437" spans="1:5" ht="36" hidden="1" outlineLevel="6">
      <c r="A437" s="164" t="s">
        <v>470</v>
      </c>
      <c r="B437" s="163" t="s">
        <v>72</v>
      </c>
      <c r="C437" s="163" t="s">
        <v>665</v>
      </c>
      <c r="D437" s="163" t="s">
        <v>6</v>
      </c>
      <c r="E437" s="167">
        <f>E438</f>
        <v>0</v>
      </c>
    </row>
    <row r="438" spans="1:5" ht="36" hidden="1" outlineLevel="6">
      <c r="A438" s="164" t="s">
        <v>37</v>
      </c>
      <c r="B438" s="163" t="s">
        <v>72</v>
      </c>
      <c r="C438" s="163" t="s">
        <v>665</v>
      </c>
      <c r="D438" s="163" t="s">
        <v>38</v>
      </c>
      <c r="E438" s="167">
        <f>E439</f>
        <v>0</v>
      </c>
    </row>
    <row r="439" spans="1:5" hidden="1" outlineLevel="6">
      <c r="A439" s="164" t="s">
        <v>74</v>
      </c>
      <c r="B439" s="163" t="s">
        <v>72</v>
      </c>
      <c r="C439" s="163" t="s">
        <v>665</v>
      </c>
      <c r="D439" s="163" t="s">
        <v>75</v>
      </c>
      <c r="E439" s="167">
        <f>'прил 11 '!F582</f>
        <v>0</v>
      </c>
    </row>
    <row r="440" spans="1:5" outlineLevel="6">
      <c r="A440" s="164" t="s">
        <v>257</v>
      </c>
      <c r="B440" s="163" t="s">
        <v>256</v>
      </c>
      <c r="C440" s="163" t="s">
        <v>126</v>
      </c>
      <c r="D440" s="163" t="s">
        <v>6</v>
      </c>
      <c r="E440" s="167">
        <f>E441+E464</f>
        <v>43601926.579999998</v>
      </c>
    </row>
    <row r="441" spans="1:5" ht="36" outlineLevel="6">
      <c r="A441" s="196" t="s">
        <v>853</v>
      </c>
      <c r="B441" s="197" t="s">
        <v>256</v>
      </c>
      <c r="C441" s="197" t="s">
        <v>138</v>
      </c>
      <c r="D441" s="197" t="s">
        <v>6</v>
      </c>
      <c r="E441" s="167">
        <f>E442</f>
        <v>25310464</v>
      </c>
    </row>
    <row r="442" spans="1:5" ht="36" outlineLevel="3">
      <c r="A442" s="164" t="s">
        <v>860</v>
      </c>
      <c r="B442" s="163" t="s">
        <v>256</v>
      </c>
      <c r="C442" s="163" t="s">
        <v>149</v>
      </c>
      <c r="D442" s="163" t="s">
        <v>6</v>
      </c>
      <c r="E442" s="167">
        <f>E443+E447+E454+E461</f>
        <v>25310464</v>
      </c>
    </row>
    <row r="443" spans="1:5" ht="36" outlineLevel="4">
      <c r="A443" s="203" t="s">
        <v>207</v>
      </c>
      <c r="B443" s="163" t="s">
        <v>256</v>
      </c>
      <c r="C443" s="163" t="s">
        <v>224</v>
      </c>
      <c r="D443" s="163" t="s">
        <v>6</v>
      </c>
      <c r="E443" s="167">
        <f>E444</f>
        <v>23996964</v>
      </c>
    </row>
    <row r="444" spans="1:5" ht="54" outlineLevel="5">
      <c r="A444" s="164" t="s">
        <v>115</v>
      </c>
      <c r="B444" s="163" t="s">
        <v>256</v>
      </c>
      <c r="C444" s="163" t="s">
        <v>151</v>
      </c>
      <c r="D444" s="163" t="s">
        <v>6</v>
      </c>
      <c r="E444" s="167">
        <f>E445</f>
        <v>23996964</v>
      </c>
    </row>
    <row r="445" spans="1:5" ht="36" outlineLevel="6">
      <c r="A445" s="164" t="s">
        <v>37</v>
      </c>
      <c r="B445" s="163" t="s">
        <v>256</v>
      </c>
      <c r="C445" s="163" t="s">
        <v>151</v>
      </c>
      <c r="D445" s="163" t="s">
        <v>38</v>
      </c>
      <c r="E445" s="167">
        <f>E446</f>
        <v>23996964</v>
      </c>
    </row>
    <row r="446" spans="1:5" outlineLevel="6">
      <c r="A446" s="164" t="s">
        <v>74</v>
      </c>
      <c r="B446" s="163" t="s">
        <v>256</v>
      </c>
      <c r="C446" s="163" t="s">
        <v>151</v>
      </c>
      <c r="D446" s="163" t="s">
        <v>75</v>
      </c>
      <c r="E446" s="167">
        <f>'прил 11 '!F589</f>
        <v>23996964</v>
      </c>
    </row>
    <row r="447" spans="1:5" ht="36" outlineLevel="5">
      <c r="A447" s="200" t="s">
        <v>402</v>
      </c>
      <c r="B447" s="163" t="s">
        <v>256</v>
      </c>
      <c r="C447" s="163" t="s">
        <v>225</v>
      </c>
      <c r="D447" s="163" t="s">
        <v>6</v>
      </c>
      <c r="E447" s="167">
        <f>E448+E451+E458</f>
        <v>110500</v>
      </c>
    </row>
    <row r="448" spans="1:5" outlineLevel="6">
      <c r="A448" s="164" t="s">
        <v>268</v>
      </c>
      <c r="B448" s="163" t="s">
        <v>256</v>
      </c>
      <c r="C448" s="163" t="s">
        <v>288</v>
      </c>
      <c r="D448" s="163" t="s">
        <v>6</v>
      </c>
      <c r="E448" s="167">
        <f>E449</f>
        <v>25000</v>
      </c>
    </row>
    <row r="449" spans="1:5" ht="36" outlineLevel="6">
      <c r="A449" s="164" t="s">
        <v>37</v>
      </c>
      <c r="B449" s="163" t="s">
        <v>256</v>
      </c>
      <c r="C449" s="163" t="s">
        <v>288</v>
      </c>
      <c r="D449" s="163" t="s">
        <v>38</v>
      </c>
      <c r="E449" s="167">
        <f>E450</f>
        <v>25000</v>
      </c>
    </row>
    <row r="450" spans="1:5" outlineLevel="6">
      <c r="A450" s="164" t="s">
        <v>74</v>
      </c>
      <c r="B450" s="163" t="s">
        <v>256</v>
      </c>
      <c r="C450" s="163" t="s">
        <v>288</v>
      </c>
      <c r="D450" s="163" t="s">
        <v>75</v>
      </c>
      <c r="E450" s="167">
        <f>'прил 11 '!F593</f>
        <v>25000</v>
      </c>
    </row>
    <row r="451" spans="1:5" outlineLevel="6">
      <c r="A451" s="164" t="s">
        <v>112</v>
      </c>
      <c r="B451" s="163" t="s">
        <v>256</v>
      </c>
      <c r="C451" s="163" t="s">
        <v>150</v>
      </c>
      <c r="D451" s="163" t="s">
        <v>6</v>
      </c>
      <c r="E451" s="167">
        <f>E452</f>
        <v>85500</v>
      </c>
    </row>
    <row r="452" spans="1:5" ht="36" outlineLevel="6">
      <c r="A452" s="164" t="s">
        <v>37</v>
      </c>
      <c r="B452" s="163" t="s">
        <v>256</v>
      </c>
      <c r="C452" s="163" t="s">
        <v>150</v>
      </c>
      <c r="D452" s="163" t="s">
        <v>38</v>
      </c>
      <c r="E452" s="167">
        <f>E453</f>
        <v>85500</v>
      </c>
    </row>
    <row r="453" spans="1:5" ht="18" customHeight="1" outlineLevel="6">
      <c r="A453" s="164" t="s">
        <v>74</v>
      </c>
      <c r="B453" s="163" t="s">
        <v>256</v>
      </c>
      <c r="C453" s="163" t="s">
        <v>150</v>
      </c>
      <c r="D453" s="163" t="s">
        <v>75</v>
      </c>
      <c r="E453" s="167">
        <f>'прил 11 '!F599</f>
        <v>85500</v>
      </c>
    </row>
    <row r="454" spans="1:5" hidden="1" outlineLevel="6">
      <c r="A454" s="164" t="s">
        <v>378</v>
      </c>
      <c r="B454" s="163" t="s">
        <v>256</v>
      </c>
      <c r="C454" s="163" t="s">
        <v>304</v>
      </c>
      <c r="D454" s="163" t="s">
        <v>6</v>
      </c>
      <c r="E454" s="167">
        <f>E455</f>
        <v>0</v>
      </c>
    </row>
    <row r="455" spans="1:5" ht="36" hidden="1" outlineLevel="6">
      <c r="A455" s="164" t="s">
        <v>613</v>
      </c>
      <c r="B455" s="163" t="s">
        <v>256</v>
      </c>
      <c r="C455" s="163" t="s">
        <v>614</v>
      </c>
      <c r="D455" s="163" t="s">
        <v>6</v>
      </c>
      <c r="E455" s="167">
        <f>E456</f>
        <v>0</v>
      </c>
    </row>
    <row r="456" spans="1:5" ht="36" hidden="1" outlineLevel="6">
      <c r="A456" s="164" t="s">
        <v>37</v>
      </c>
      <c r="B456" s="163" t="s">
        <v>256</v>
      </c>
      <c r="C456" s="163" t="s">
        <v>614</v>
      </c>
      <c r="D456" s="163" t="s">
        <v>38</v>
      </c>
      <c r="E456" s="167">
        <f>E457</f>
        <v>0</v>
      </c>
    </row>
    <row r="457" spans="1:5" hidden="1" outlineLevel="6">
      <c r="A457" s="164" t="s">
        <v>74</v>
      </c>
      <c r="B457" s="163" t="s">
        <v>256</v>
      </c>
      <c r="C457" s="163" t="s">
        <v>614</v>
      </c>
      <c r="D457" s="163" t="s">
        <v>75</v>
      </c>
      <c r="E457" s="167">
        <v>0</v>
      </c>
    </row>
    <row r="458" spans="1:5" hidden="1" outlineLevel="6">
      <c r="A458" s="221" t="s">
        <v>311</v>
      </c>
      <c r="B458" s="163" t="s">
        <v>256</v>
      </c>
      <c r="C458" s="163" t="s">
        <v>749</v>
      </c>
      <c r="D458" s="163" t="s">
        <v>6</v>
      </c>
      <c r="E458" s="167">
        <f>E459</f>
        <v>0</v>
      </c>
    </row>
    <row r="459" spans="1:5" ht="23.25" hidden="1" customHeight="1" outlineLevel="6">
      <c r="A459" s="164" t="s">
        <v>37</v>
      </c>
      <c r="B459" s="163" t="s">
        <v>256</v>
      </c>
      <c r="C459" s="163" t="s">
        <v>749</v>
      </c>
      <c r="D459" s="163" t="s">
        <v>38</v>
      </c>
      <c r="E459" s="167">
        <f>E460</f>
        <v>0</v>
      </c>
    </row>
    <row r="460" spans="1:5" ht="18" hidden="1" customHeight="1" outlineLevel="6">
      <c r="A460" s="164" t="s">
        <v>74</v>
      </c>
      <c r="B460" s="163" t="s">
        <v>256</v>
      </c>
      <c r="C460" s="163" t="s">
        <v>749</v>
      </c>
      <c r="D460" s="163" t="s">
        <v>75</v>
      </c>
      <c r="E460" s="167">
        <f>'прил 11 '!F596</f>
        <v>0</v>
      </c>
    </row>
    <row r="461" spans="1:5" ht="36" outlineLevel="6">
      <c r="A461" s="164" t="s">
        <v>768</v>
      </c>
      <c r="B461" s="163" t="s">
        <v>256</v>
      </c>
      <c r="C461" s="163" t="s">
        <v>769</v>
      </c>
      <c r="D461" s="163" t="s">
        <v>6</v>
      </c>
      <c r="E461" s="167">
        <f>E462</f>
        <v>1203000</v>
      </c>
    </row>
    <row r="462" spans="1:5" ht="45" customHeight="1" outlineLevel="6">
      <c r="A462" s="164" t="s">
        <v>37</v>
      </c>
      <c r="B462" s="163" t="s">
        <v>256</v>
      </c>
      <c r="C462" s="163" t="s">
        <v>770</v>
      </c>
      <c r="D462" s="163" t="s">
        <v>38</v>
      </c>
      <c r="E462" s="167">
        <f>E463</f>
        <v>1203000</v>
      </c>
    </row>
    <row r="463" spans="1:5" ht="33" customHeight="1" outlineLevel="6">
      <c r="A463" s="164" t="s">
        <v>74</v>
      </c>
      <c r="B463" s="163" t="s">
        <v>256</v>
      </c>
      <c r="C463" s="163" t="s">
        <v>770</v>
      </c>
      <c r="D463" s="163" t="s">
        <v>75</v>
      </c>
      <c r="E463" s="167">
        <f>'прил 11 '!F602</f>
        <v>1203000</v>
      </c>
    </row>
    <row r="464" spans="1:5" ht="36" outlineLevel="6">
      <c r="A464" s="196" t="s">
        <v>889</v>
      </c>
      <c r="B464" s="163" t="s">
        <v>256</v>
      </c>
      <c r="C464" s="163" t="s">
        <v>136</v>
      </c>
      <c r="D464" s="163" t="s">
        <v>6</v>
      </c>
      <c r="E464" s="167">
        <f>E465+E469</f>
        <v>18291462.579999998</v>
      </c>
    </row>
    <row r="465" spans="1:5" ht="45" customHeight="1" outlineLevel="6">
      <c r="A465" s="164" t="s">
        <v>368</v>
      </c>
      <c r="B465" s="163" t="s">
        <v>256</v>
      </c>
      <c r="C465" s="163" t="s">
        <v>228</v>
      </c>
      <c r="D465" s="163" t="s">
        <v>6</v>
      </c>
      <c r="E465" s="167">
        <f>E466</f>
        <v>18193102.579999998</v>
      </c>
    </row>
    <row r="466" spans="1:5" ht="41.25" customHeight="1" outlineLevel="6">
      <c r="A466" s="164" t="s">
        <v>73</v>
      </c>
      <c r="B466" s="163" t="s">
        <v>256</v>
      </c>
      <c r="C466" s="163" t="s">
        <v>137</v>
      </c>
      <c r="D466" s="163" t="s">
        <v>6</v>
      </c>
      <c r="E466" s="167">
        <f>E467</f>
        <v>18193102.579999998</v>
      </c>
    </row>
    <row r="467" spans="1:5" ht="36" outlineLevel="6">
      <c r="A467" s="164" t="s">
        <v>37</v>
      </c>
      <c r="B467" s="163" t="s">
        <v>256</v>
      </c>
      <c r="C467" s="163" t="s">
        <v>137</v>
      </c>
      <c r="D467" s="163" t="s">
        <v>38</v>
      </c>
      <c r="E467" s="167">
        <f>E468</f>
        <v>18193102.579999998</v>
      </c>
    </row>
    <row r="468" spans="1:5" ht="18" customHeight="1" outlineLevel="6">
      <c r="A468" s="164" t="s">
        <v>74</v>
      </c>
      <c r="B468" s="163" t="s">
        <v>256</v>
      </c>
      <c r="C468" s="163" t="s">
        <v>137</v>
      </c>
      <c r="D468" s="163" t="s">
        <v>75</v>
      </c>
      <c r="E468" s="167">
        <f>'прил 11 '!F349</f>
        <v>18193102.579999998</v>
      </c>
    </row>
    <row r="469" spans="1:5" ht="21.15" customHeight="1" outlineLevel="6">
      <c r="A469" s="164" t="s">
        <v>211</v>
      </c>
      <c r="B469" s="163" t="s">
        <v>256</v>
      </c>
      <c r="C469" s="163" t="s">
        <v>229</v>
      </c>
      <c r="D469" s="163" t="s">
        <v>6</v>
      </c>
      <c r="E469" s="167">
        <f>E470</f>
        <v>98360</v>
      </c>
    </row>
    <row r="470" spans="1:5" ht="72" outlineLevel="6">
      <c r="A470" s="164" t="s">
        <v>524</v>
      </c>
      <c r="B470" s="163" t="s">
        <v>256</v>
      </c>
      <c r="C470" s="163" t="s">
        <v>725</v>
      </c>
      <c r="D470" s="169" t="s">
        <v>6</v>
      </c>
      <c r="E470" s="167">
        <f>E471</f>
        <v>98360</v>
      </c>
    </row>
    <row r="471" spans="1:5" ht="36" outlineLevel="6">
      <c r="A471" s="164" t="s">
        <v>37</v>
      </c>
      <c r="B471" s="163" t="s">
        <v>256</v>
      </c>
      <c r="C471" s="163" t="s">
        <v>725</v>
      </c>
      <c r="D471" s="169" t="s">
        <v>38</v>
      </c>
      <c r="E471" s="167">
        <f>E472</f>
        <v>98360</v>
      </c>
    </row>
    <row r="472" spans="1:5" outlineLevel="6">
      <c r="A472" s="164" t="s">
        <v>74</v>
      </c>
      <c r="B472" s="163" t="s">
        <v>256</v>
      </c>
      <c r="C472" s="163" t="s">
        <v>725</v>
      </c>
      <c r="D472" s="169" t="s">
        <v>75</v>
      </c>
      <c r="E472" s="167">
        <f>'прил 11 '!F352</f>
        <v>98360</v>
      </c>
    </row>
    <row r="473" spans="1:5" outlineLevel="1">
      <c r="A473" s="164" t="s">
        <v>76</v>
      </c>
      <c r="B473" s="163" t="s">
        <v>77</v>
      </c>
      <c r="C473" s="163" t="s">
        <v>126</v>
      </c>
      <c r="D473" s="163" t="s">
        <v>6</v>
      </c>
      <c r="E473" s="167">
        <f>E474</f>
        <v>2042300</v>
      </c>
    </row>
    <row r="474" spans="1:5" s="286" customFormat="1" ht="36" outlineLevel="2">
      <c r="A474" s="196" t="s">
        <v>853</v>
      </c>
      <c r="B474" s="197" t="s">
        <v>77</v>
      </c>
      <c r="C474" s="197" t="s">
        <v>138</v>
      </c>
      <c r="D474" s="197" t="s">
        <v>6</v>
      </c>
      <c r="E474" s="171">
        <f>E475+E488</f>
        <v>2042300</v>
      </c>
    </row>
    <row r="475" spans="1:5" ht="36" outlineLevel="3">
      <c r="A475" s="164" t="s">
        <v>861</v>
      </c>
      <c r="B475" s="163" t="s">
        <v>77</v>
      </c>
      <c r="C475" s="163" t="s">
        <v>146</v>
      </c>
      <c r="D475" s="163" t="s">
        <v>6</v>
      </c>
      <c r="E475" s="167">
        <f>E476+E480</f>
        <v>1917300</v>
      </c>
    </row>
    <row r="476" spans="1:5" ht="43.5" customHeight="1" outlineLevel="3">
      <c r="A476" s="200" t="s">
        <v>206</v>
      </c>
      <c r="B476" s="163" t="s">
        <v>77</v>
      </c>
      <c r="C476" s="163" t="s">
        <v>220</v>
      </c>
      <c r="D476" s="163" t="s">
        <v>6</v>
      </c>
      <c r="E476" s="167">
        <f>E477</f>
        <v>70000</v>
      </c>
    </row>
    <row r="477" spans="1:5" outlineLevel="3">
      <c r="A477" s="164" t="s">
        <v>424</v>
      </c>
      <c r="B477" s="163" t="s">
        <v>77</v>
      </c>
      <c r="C477" s="163" t="s">
        <v>235</v>
      </c>
      <c r="D477" s="163" t="s">
        <v>6</v>
      </c>
      <c r="E477" s="167">
        <f>E478</f>
        <v>70000</v>
      </c>
    </row>
    <row r="478" spans="1:5" ht="17.399999999999999" customHeight="1" outlineLevel="3">
      <c r="A478" s="164" t="s">
        <v>15</v>
      </c>
      <c r="B478" s="163" t="s">
        <v>77</v>
      </c>
      <c r="C478" s="163" t="s">
        <v>235</v>
      </c>
      <c r="D478" s="163" t="s">
        <v>16</v>
      </c>
      <c r="E478" s="167">
        <f>E479</f>
        <v>70000</v>
      </c>
    </row>
    <row r="479" spans="1:5" ht="21.15" customHeight="1" outlineLevel="4">
      <c r="A479" s="164" t="s">
        <v>17</v>
      </c>
      <c r="B479" s="163" t="s">
        <v>77</v>
      </c>
      <c r="C479" s="163" t="s">
        <v>235</v>
      </c>
      <c r="D479" s="163" t="s">
        <v>18</v>
      </c>
      <c r="E479" s="167">
        <f>'прил 11 '!F612</f>
        <v>70000</v>
      </c>
    </row>
    <row r="480" spans="1:5" ht="40.65" customHeight="1" outlineLevel="6">
      <c r="A480" s="200" t="s">
        <v>275</v>
      </c>
      <c r="B480" s="163" t="s">
        <v>77</v>
      </c>
      <c r="C480" s="163" t="s">
        <v>223</v>
      </c>
      <c r="D480" s="163" t="s">
        <v>6</v>
      </c>
      <c r="E480" s="167">
        <f>E481</f>
        <v>1847300</v>
      </c>
    </row>
    <row r="481" spans="1:5" ht="72" outlineLevel="6">
      <c r="A481" s="187" t="s">
        <v>403</v>
      </c>
      <c r="B481" s="163" t="s">
        <v>77</v>
      </c>
      <c r="C481" s="163" t="s">
        <v>152</v>
      </c>
      <c r="D481" s="163" t="s">
        <v>6</v>
      </c>
      <c r="E481" s="167">
        <f>E482+E484+E486</f>
        <v>1847300</v>
      </c>
    </row>
    <row r="482" spans="1:5" ht="36" outlineLevel="6">
      <c r="A482" s="164" t="s">
        <v>15</v>
      </c>
      <c r="B482" s="163" t="s">
        <v>77</v>
      </c>
      <c r="C482" s="163" t="s">
        <v>152</v>
      </c>
      <c r="D482" s="163" t="s">
        <v>16</v>
      </c>
      <c r="E482" s="167">
        <f>E483</f>
        <v>2000</v>
      </c>
    </row>
    <row r="483" spans="1:5" ht="36" outlineLevel="6">
      <c r="A483" s="164" t="s">
        <v>17</v>
      </c>
      <c r="B483" s="163" t="s">
        <v>77</v>
      </c>
      <c r="C483" s="163" t="s">
        <v>152</v>
      </c>
      <c r="D483" s="163" t="s">
        <v>18</v>
      </c>
      <c r="E483" s="167">
        <f>'прил 11 '!F616</f>
        <v>2000</v>
      </c>
    </row>
    <row r="484" spans="1:5" outlineLevel="5">
      <c r="A484" s="164" t="s">
        <v>90</v>
      </c>
      <c r="B484" s="163" t="s">
        <v>77</v>
      </c>
      <c r="C484" s="163" t="s">
        <v>152</v>
      </c>
      <c r="D484" s="163" t="s">
        <v>91</v>
      </c>
      <c r="E484" s="167">
        <f>E485</f>
        <v>320000</v>
      </c>
    </row>
    <row r="485" spans="1:5" ht="18.75" customHeight="1" outlineLevel="6">
      <c r="A485" s="164" t="s">
        <v>97</v>
      </c>
      <c r="B485" s="163" t="s">
        <v>77</v>
      </c>
      <c r="C485" s="163" t="s">
        <v>152</v>
      </c>
      <c r="D485" s="163" t="s">
        <v>98</v>
      </c>
      <c r="E485" s="167">
        <f>'прил 11 '!F618</f>
        <v>320000</v>
      </c>
    </row>
    <row r="486" spans="1:5" ht="36" outlineLevel="4">
      <c r="A486" s="164" t="s">
        <v>37</v>
      </c>
      <c r="B486" s="163" t="s">
        <v>77</v>
      </c>
      <c r="C486" s="163" t="s">
        <v>152</v>
      </c>
      <c r="D486" s="163" t="s">
        <v>38</v>
      </c>
      <c r="E486" s="167">
        <f>E487</f>
        <v>1525300</v>
      </c>
    </row>
    <row r="487" spans="1:5" outlineLevel="5">
      <c r="A487" s="164" t="s">
        <v>74</v>
      </c>
      <c r="B487" s="163" t="s">
        <v>77</v>
      </c>
      <c r="C487" s="163" t="s">
        <v>152</v>
      </c>
      <c r="D487" s="163" t="s">
        <v>75</v>
      </c>
      <c r="E487" s="167">
        <f>'прил 11 '!F620</f>
        <v>1525300</v>
      </c>
    </row>
    <row r="488" spans="1:5" outlineLevel="6">
      <c r="A488" s="33" t="s">
        <v>238</v>
      </c>
      <c r="B488" s="163" t="s">
        <v>77</v>
      </c>
      <c r="C488" s="163" t="s">
        <v>237</v>
      </c>
      <c r="D488" s="163" t="s">
        <v>6</v>
      </c>
      <c r="E488" s="167">
        <f>E489</f>
        <v>125000</v>
      </c>
    </row>
    <row r="489" spans="1:5" outlineLevel="6">
      <c r="A489" s="164" t="s">
        <v>78</v>
      </c>
      <c r="B489" s="163" t="s">
        <v>77</v>
      </c>
      <c r="C489" s="163" t="s">
        <v>153</v>
      </c>
      <c r="D489" s="163" t="s">
        <v>6</v>
      </c>
      <c r="E489" s="167">
        <f>E490</f>
        <v>125000</v>
      </c>
    </row>
    <row r="490" spans="1:5" ht="18" customHeight="1" outlineLevel="6">
      <c r="A490" s="164" t="s">
        <v>15</v>
      </c>
      <c r="B490" s="163" t="s">
        <v>77</v>
      </c>
      <c r="C490" s="163" t="s">
        <v>153</v>
      </c>
      <c r="D490" s="163" t="s">
        <v>16</v>
      </c>
      <c r="E490" s="167">
        <f>E491</f>
        <v>125000</v>
      </c>
    </row>
    <row r="491" spans="1:5" ht="21.75" customHeight="1" outlineLevel="6">
      <c r="A491" s="164" t="s">
        <v>17</v>
      </c>
      <c r="B491" s="163" t="s">
        <v>77</v>
      </c>
      <c r="C491" s="163" t="s">
        <v>153</v>
      </c>
      <c r="D491" s="163" t="s">
        <v>18</v>
      </c>
      <c r="E491" s="167">
        <f>'прил 11 '!F624</f>
        <v>125000</v>
      </c>
    </row>
    <row r="492" spans="1:5" outlineLevel="1">
      <c r="A492" s="164" t="s">
        <v>116</v>
      </c>
      <c r="B492" s="163" t="s">
        <v>117</v>
      </c>
      <c r="C492" s="163" t="s">
        <v>126</v>
      </c>
      <c r="D492" s="163" t="s">
        <v>6</v>
      </c>
      <c r="E492" s="167">
        <f>E493</f>
        <v>21791996</v>
      </c>
    </row>
    <row r="493" spans="1:5" ht="36" outlineLevel="2">
      <c r="A493" s="196" t="s">
        <v>855</v>
      </c>
      <c r="B493" s="197" t="s">
        <v>117</v>
      </c>
      <c r="C493" s="197" t="s">
        <v>138</v>
      </c>
      <c r="D493" s="197" t="s">
        <v>6</v>
      </c>
      <c r="E493" s="167">
        <f>E494</f>
        <v>21791996</v>
      </c>
    </row>
    <row r="494" spans="1:5" ht="36" outlineLevel="4">
      <c r="A494" s="200" t="s">
        <v>209</v>
      </c>
      <c r="B494" s="163" t="s">
        <v>117</v>
      </c>
      <c r="C494" s="163" t="s">
        <v>226</v>
      </c>
      <c r="D494" s="163" t="s">
        <v>6</v>
      </c>
      <c r="E494" s="167">
        <f>E495+E502+E509</f>
        <v>21791996</v>
      </c>
    </row>
    <row r="495" spans="1:5" ht="39.75" customHeight="1" outlineLevel="5">
      <c r="A495" s="164" t="s">
        <v>498</v>
      </c>
      <c r="B495" s="163" t="s">
        <v>117</v>
      </c>
      <c r="C495" s="163" t="s">
        <v>539</v>
      </c>
      <c r="D495" s="163" t="s">
        <v>6</v>
      </c>
      <c r="E495" s="167">
        <f>E496+E498+E500</f>
        <v>5189242</v>
      </c>
    </row>
    <row r="496" spans="1:5" ht="72" outlineLevel="6">
      <c r="A496" s="164" t="s">
        <v>11</v>
      </c>
      <c r="B496" s="163" t="s">
        <v>117</v>
      </c>
      <c r="C496" s="163" t="s">
        <v>539</v>
      </c>
      <c r="D496" s="163" t="s">
        <v>12</v>
      </c>
      <c r="E496" s="167">
        <f>E497</f>
        <v>5089242</v>
      </c>
    </row>
    <row r="497" spans="1:7" ht="18" customHeight="1" outlineLevel="5">
      <c r="A497" s="164" t="s">
        <v>13</v>
      </c>
      <c r="B497" s="163" t="s">
        <v>117</v>
      </c>
      <c r="C497" s="163" t="s">
        <v>539</v>
      </c>
      <c r="D497" s="163" t="s">
        <v>14</v>
      </c>
      <c r="E497" s="167">
        <f>'прил 11 '!F630</f>
        <v>5089242</v>
      </c>
    </row>
    <row r="498" spans="1:7" ht="18" customHeight="1" outlineLevel="6">
      <c r="A498" s="164" t="s">
        <v>15</v>
      </c>
      <c r="B498" s="163" t="s">
        <v>117</v>
      </c>
      <c r="C498" s="163" t="s">
        <v>539</v>
      </c>
      <c r="D498" s="163" t="s">
        <v>16</v>
      </c>
      <c r="E498" s="167">
        <f>E499</f>
        <v>100000</v>
      </c>
    </row>
    <row r="499" spans="1:7" ht="18" customHeight="1" outlineLevel="6">
      <c r="A499" s="164" t="s">
        <v>17</v>
      </c>
      <c r="B499" s="163" t="s">
        <v>117</v>
      </c>
      <c r="C499" s="163" t="s">
        <v>539</v>
      </c>
      <c r="D499" s="163" t="s">
        <v>18</v>
      </c>
      <c r="E499" s="167">
        <f>'прил 11 '!F632</f>
        <v>100000</v>
      </c>
    </row>
    <row r="500" spans="1:7" hidden="1" outlineLevel="6">
      <c r="A500" s="164" t="s">
        <v>19</v>
      </c>
      <c r="B500" s="163" t="s">
        <v>117</v>
      </c>
      <c r="C500" s="163" t="s">
        <v>539</v>
      </c>
      <c r="D500" s="163" t="s">
        <v>20</v>
      </c>
      <c r="E500" s="167">
        <f>E501</f>
        <v>0</v>
      </c>
    </row>
    <row r="501" spans="1:7" hidden="1" outlineLevel="4">
      <c r="A501" s="164" t="s">
        <v>21</v>
      </c>
      <c r="B501" s="163" t="s">
        <v>117</v>
      </c>
      <c r="C501" s="163" t="s">
        <v>539</v>
      </c>
      <c r="D501" s="163" t="s">
        <v>22</v>
      </c>
      <c r="E501" s="167">
        <f>'прил 11 '!F634</f>
        <v>0</v>
      </c>
    </row>
    <row r="502" spans="1:7" ht="36" outlineLevel="5">
      <c r="A502" s="164" t="s">
        <v>33</v>
      </c>
      <c r="B502" s="163" t="s">
        <v>117</v>
      </c>
      <c r="C502" s="163" t="s">
        <v>154</v>
      </c>
      <c r="D502" s="163" t="s">
        <v>6</v>
      </c>
      <c r="E502" s="167">
        <f>E503+E505+E507</f>
        <v>14457199</v>
      </c>
    </row>
    <row r="503" spans="1:7" ht="72" outlineLevel="6">
      <c r="A503" s="164" t="s">
        <v>11</v>
      </c>
      <c r="B503" s="163" t="s">
        <v>117</v>
      </c>
      <c r="C503" s="163" t="s">
        <v>154</v>
      </c>
      <c r="D503" s="163" t="s">
        <v>12</v>
      </c>
      <c r="E503" s="167">
        <f>E504</f>
        <v>11574478</v>
      </c>
    </row>
    <row r="504" spans="1:7" outlineLevel="5">
      <c r="A504" s="164" t="s">
        <v>34</v>
      </c>
      <c r="B504" s="163" t="s">
        <v>117</v>
      </c>
      <c r="C504" s="163" t="s">
        <v>154</v>
      </c>
      <c r="D504" s="163" t="s">
        <v>35</v>
      </c>
      <c r="E504" s="167">
        <f>'прил 11 '!F637</f>
        <v>11574478</v>
      </c>
    </row>
    <row r="505" spans="1:7" ht="16.5" customHeight="1" outlineLevel="6">
      <c r="A505" s="164" t="s">
        <v>15</v>
      </c>
      <c r="B505" s="163" t="s">
        <v>117</v>
      </c>
      <c r="C505" s="163" t="s">
        <v>154</v>
      </c>
      <c r="D505" s="163" t="s">
        <v>16</v>
      </c>
      <c r="E505" s="167">
        <f>E506</f>
        <v>2843521</v>
      </c>
    </row>
    <row r="506" spans="1:7" ht="20.25" customHeight="1" outlineLevel="6">
      <c r="A506" s="164" t="s">
        <v>17</v>
      </c>
      <c r="B506" s="163" t="s">
        <v>117</v>
      </c>
      <c r="C506" s="163" t="s">
        <v>154</v>
      </c>
      <c r="D506" s="163" t="s">
        <v>18</v>
      </c>
      <c r="E506" s="167">
        <f>'прил 11 '!F639</f>
        <v>2843521</v>
      </c>
    </row>
    <row r="507" spans="1:7" outlineLevel="6">
      <c r="A507" s="164" t="s">
        <v>19</v>
      </c>
      <c r="B507" s="163" t="s">
        <v>117</v>
      </c>
      <c r="C507" s="163" t="s">
        <v>154</v>
      </c>
      <c r="D507" s="163" t="s">
        <v>20</v>
      </c>
      <c r="E507" s="167">
        <f>E508</f>
        <v>39200</v>
      </c>
    </row>
    <row r="508" spans="1:7" outlineLevel="6">
      <c r="A508" s="164" t="s">
        <v>21</v>
      </c>
      <c r="B508" s="163" t="s">
        <v>117</v>
      </c>
      <c r="C508" s="163" t="s">
        <v>154</v>
      </c>
      <c r="D508" s="163" t="s">
        <v>22</v>
      </c>
      <c r="E508" s="167">
        <f>'прил 11 '!F641</f>
        <v>39200</v>
      </c>
    </row>
    <row r="509" spans="1:7" ht="36" outlineLevel="6">
      <c r="A509" s="33" t="s">
        <v>36</v>
      </c>
      <c r="B509" s="163" t="s">
        <v>117</v>
      </c>
      <c r="C509" s="163" t="s">
        <v>155</v>
      </c>
      <c r="D509" s="163" t="s">
        <v>6</v>
      </c>
      <c r="E509" s="167">
        <f>E510</f>
        <v>2145555</v>
      </c>
    </row>
    <row r="510" spans="1:7" ht="36" outlineLevel="6">
      <c r="A510" s="164" t="s">
        <v>37</v>
      </c>
      <c r="B510" s="163" t="s">
        <v>117</v>
      </c>
      <c r="C510" s="163" t="s">
        <v>155</v>
      </c>
      <c r="D510" s="163" t="s">
        <v>38</v>
      </c>
      <c r="E510" s="167">
        <f>E511</f>
        <v>2145555</v>
      </c>
    </row>
    <row r="511" spans="1:7" outlineLevel="6">
      <c r="A511" s="164" t="s">
        <v>39</v>
      </c>
      <c r="B511" s="163" t="s">
        <v>117</v>
      </c>
      <c r="C511" s="163" t="s">
        <v>155</v>
      </c>
      <c r="D511" s="163" t="s">
        <v>40</v>
      </c>
      <c r="E511" s="167">
        <f>'прил 11 '!F644</f>
        <v>2145555</v>
      </c>
    </row>
    <row r="512" spans="1:7" s="264" customFormat="1">
      <c r="A512" s="164" t="s">
        <v>79</v>
      </c>
      <c r="B512" s="192" t="s">
        <v>80</v>
      </c>
      <c r="C512" s="192" t="s">
        <v>126</v>
      </c>
      <c r="D512" s="192" t="s">
        <v>6</v>
      </c>
      <c r="E512" s="215">
        <f>E513+E534</f>
        <v>37025426.940000005</v>
      </c>
      <c r="G512" s="263">
        <f>E512/'прил 11 '!F687*100</f>
        <v>3.8554679550607625</v>
      </c>
    </row>
    <row r="513" spans="1:5" outlineLevel="1">
      <c r="A513" s="164" t="s">
        <v>81</v>
      </c>
      <c r="B513" s="163" t="s">
        <v>82</v>
      </c>
      <c r="C513" s="163" t="s">
        <v>126</v>
      </c>
      <c r="D513" s="163" t="s">
        <v>6</v>
      </c>
      <c r="E513" s="167">
        <f>E514</f>
        <v>34319913.550000004</v>
      </c>
    </row>
    <row r="514" spans="1:5" ht="36" outlineLevel="2">
      <c r="A514" s="196" t="s">
        <v>868</v>
      </c>
      <c r="B514" s="197" t="s">
        <v>82</v>
      </c>
      <c r="C514" s="197" t="s">
        <v>136</v>
      </c>
      <c r="D514" s="197" t="s">
        <v>6</v>
      </c>
      <c r="E514" s="167">
        <f>E515+E529+E519</f>
        <v>34319913.550000004</v>
      </c>
    </row>
    <row r="515" spans="1:5" ht="48.75" customHeight="1" outlineLevel="2">
      <c r="A515" s="164" t="s">
        <v>370</v>
      </c>
      <c r="B515" s="163" t="s">
        <v>82</v>
      </c>
      <c r="C515" s="163" t="s">
        <v>227</v>
      </c>
      <c r="D515" s="163" t="s">
        <v>6</v>
      </c>
      <c r="E515" s="167">
        <f>E516+E523+E526</f>
        <v>9334070.6100000013</v>
      </c>
    </row>
    <row r="516" spans="1:5" ht="36" outlineLevel="6">
      <c r="A516" s="33" t="s">
        <v>84</v>
      </c>
      <c r="B516" s="163" t="s">
        <v>82</v>
      </c>
      <c r="C516" s="163" t="s">
        <v>141</v>
      </c>
      <c r="D516" s="163" t="s">
        <v>6</v>
      </c>
      <c r="E516" s="167">
        <f>E517</f>
        <v>9329030.4600000009</v>
      </c>
    </row>
    <row r="517" spans="1:5" ht="36" outlineLevel="6">
      <c r="A517" s="164" t="s">
        <v>37</v>
      </c>
      <c r="B517" s="163" t="s">
        <v>82</v>
      </c>
      <c r="C517" s="163" t="s">
        <v>141</v>
      </c>
      <c r="D517" s="163" t="s">
        <v>38</v>
      </c>
      <c r="E517" s="167">
        <f>E518</f>
        <v>9329030.4600000009</v>
      </c>
    </row>
    <row r="518" spans="1:5" outlineLevel="6">
      <c r="A518" s="164" t="s">
        <v>74</v>
      </c>
      <c r="B518" s="163" t="s">
        <v>82</v>
      </c>
      <c r="C518" s="163" t="s">
        <v>141</v>
      </c>
      <c r="D518" s="163" t="s">
        <v>75</v>
      </c>
      <c r="E518" s="167">
        <f>'прил 11 '!F363</f>
        <v>9329030.4600000009</v>
      </c>
    </row>
    <row r="519" spans="1:5" ht="36" outlineLevel="6">
      <c r="A519" s="164" t="s">
        <v>689</v>
      </c>
      <c r="B519" s="163" t="s">
        <v>82</v>
      </c>
      <c r="C519" s="163" t="s">
        <v>688</v>
      </c>
      <c r="D519" s="163" t="s">
        <v>6</v>
      </c>
      <c r="E519" s="167">
        <f>E520</f>
        <v>24239342.940000001</v>
      </c>
    </row>
    <row r="520" spans="1:5" ht="36" outlineLevel="6">
      <c r="A520" s="33" t="s">
        <v>84</v>
      </c>
      <c r="B520" s="163" t="s">
        <v>82</v>
      </c>
      <c r="C520" s="163" t="s">
        <v>687</v>
      </c>
      <c r="D520" s="163" t="s">
        <v>6</v>
      </c>
      <c r="E520" s="167">
        <f>E521</f>
        <v>24239342.940000001</v>
      </c>
    </row>
    <row r="521" spans="1:5" ht="36" outlineLevel="6">
      <c r="A521" s="164" t="s">
        <v>37</v>
      </c>
      <c r="B521" s="163" t="s">
        <v>82</v>
      </c>
      <c r="C521" s="163" t="s">
        <v>687</v>
      </c>
      <c r="D521" s="163" t="s">
        <v>38</v>
      </c>
      <c r="E521" s="167">
        <f>E522</f>
        <v>24239342.940000001</v>
      </c>
    </row>
    <row r="522" spans="1:5" ht="17.399999999999999" customHeight="1" outlineLevel="6">
      <c r="A522" s="164" t="s">
        <v>74</v>
      </c>
      <c r="B522" s="163" t="s">
        <v>82</v>
      </c>
      <c r="C522" s="163" t="s">
        <v>687</v>
      </c>
      <c r="D522" s="163" t="s">
        <v>75</v>
      </c>
      <c r="E522" s="167">
        <f>'прил 11 '!F367</f>
        <v>24239342.940000001</v>
      </c>
    </row>
    <row r="523" spans="1:5" ht="58.65" hidden="1" customHeight="1" outlineLevel="6">
      <c r="A523" s="187" t="s">
        <v>393</v>
      </c>
      <c r="B523" s="163" t="s">
        <v>82</v>
      </c>
      <c r="C523" s="163" t="s">
        <v>294</v>
      </c>
      <c r="D523" s="163" t="s">
        <v>6</v>
      </c>
      <c r="E523" s="167">
        <f>E524</f>
        <v>0</v>
      </c>
    </row>
    <row r="524" spans="1:5" ht="36" hidden="1" outlineLevel="6">
      <c r="A524" s="164" t="s">
        <v>37</v>
      </c>
      <c r="B524" s="163" t="s">
        <v>82</v>
      </c>
      <c r="C524" s="163" t="s">
        <v>294</v>
      </c>
      <c r="D524" s="163" t="s">
        <v>38</v>
      </c>
      <c r="E524" s="167">
        <f>E525</f>
        <v>0</v>
      </c>
    </row>
    <row r="525" spans="1:5" hidden="1" outlineLevel="4">
      <c r="A525" s="164" t="s">
        <v>74</v>
      </c>
      <c r="B525" s="163" t="s">
        <v>82</v>
      </c>
      <c r="C525" s="163" t="s">
        <v>294</v>
      </c>
      <c r="D525" s="163" t="s">
        <v>75</v>
      </c>
      <c r="E525" s="167">
        <v>0</v>
      </c>
    </row>
    <row r="526" spans="1:5" ht="54" outlineLevel="4">
      <c r="A526" s="164" t="s">
        <v>307</v>
      </c>
      <c r="B526" s="163" t="s">
        <v>82</v>
      </c>
      <c r="C526" s="163" t="s">
        <v>308</v>
      </c>
      <c r="D526" s="163" t="s">
        <v>6</v>
      </c>
      <c r="E526" s="167">
        <f>E527</f>
        <v>5040.1499999999996</v>
      </c>
    </row>
    <row r="527" spans="1:5" ht="36" outlineLevel="4">
      <c r="A527" s="164" t="s">
        <v>37</v>
      </c>
      <c r="B527" s="163" t="s">
        <v>82</v>
      </c>
      <c r="C527" s="163" t="s">
        <v>308</v>
      </c>
      <c r="D527" s="163" t="s">
        <v>38</v>
      </c>
      <c r="E527" s="167">
        <f>E528</f>
        <v>5040.1499999999996</v>
      </c>
    </row>
    <row r="528" spans="1:5" outlineLevel="4">
      <c r="A528" s="164" t="s">
        <v>74</v>
      </c>
      <c r="B528" s="163" t="s">
        <v>82</v>
      </c>
      <c r="C528" s="163" t="s">
        <v>308</v>
      </c>
      <c r="D528" s="163" t="s">
        <v>75</v>
      </c>
      <c r="E528" s="167">
        <f>'прил 11 '!F376</f>
        <v>5040.1499999999996</v>
      </c>
    </row>
    <row r="529" spans="1:5" ht="21.15" customHeight="1" outlineLevel="5">
      <c r="A529" s="164" t="s">
        <v>211</v>
      </c>
      <c r="B529" s="163" t="s">
        <v>82</v>
      </c>
      <c r="C529" s="163" t="s">
        <v>229</v>
      </c>
      <c r="D529" s="163" t="s">
        <v>6</v>
      </c>
      <c r="E529" s="167">
        <f>E530</f>
        <v>746500</v>
      </c>
    </row>
    <row r="530" spans="1:5" outlineLevel="6">
      <c r="A530" s="164" t="s">
        <v>83</v>
      </c>
      <c r="B530" s="163" t="s">
        <v>82</v>
      </c>
      <c r="C530" s="163" t="s">
        <v>140</v>
      </c>
      <c r="D530" s="163" t="s">
        <v>6</v>
      </c>
      <c r="E530" s="167">
        <f>E531</f>
        <v>746500</v>
      </c>
    </row>
    <row r="531" spans="1:5" ht="36" outlineLevel="6">
      <c r="A531" s="164" t="s">
        <v>37</v>
      </c>
      <c r="B531" s="163" t="s">
        <v>82</v>
      </c>
      <c r="C531" s="163" t="s">
        <v>140</v>
      </c>
      <c r="D531" s="163" t="s">
        <v>38</v>
      </c>
      <c r="E531" s="167">
        <f>E532+E533</f>
        <v>746500</v>
      </c>
    </row>
    <row r="532" spans="1:5" outlineLevel="6">
      <c r="A532" s="164" t="s">
        <v>74</v>
      </c>
      <c r="B532" s="163" t="s">
        <v>82</v>
      </c>
      <c r="C532" s="163" t="s">
        <v>140</v>
      </c>
      <c r="D532" s="163" t="s">
        <v>75</v>
      </c>
      <c r="E532" s="167">
        <f>'прил 11 '!F380</f>
        <v>632500</v>
      </c>
    </row>
    <row r="533" spans="1:5" ht="36" outlineLevel="6">
      <c r="A533" s="164" t="s">
        <v>371</v>
      </c>
      <c r="B533" s="163" t="s">
        <v>82</v>
      </c>
      <c r="C533" s="163" t="s">
        <v>140</v>
      </c>
      <c r="D533" s="163" t="s">
        <v>252</v>
      </c>
      <c r="E533" s="167">
        <f>'прил 11 '!F381</f>
        <v>114000</v>
      </c>
    </row>
    <row r="534" spans="1:5" outlineLevel="6">
      <c r="A534" s="164" t="s">
        <v>526</v>
      </c>
      <c r="B534" s="163" t="s">
        <v>527</v>
      </c>
      <c r="C534" s="163" t="s">
        <v>126</v>
      </c>
      <c r="D534" s="163" t="s">
        <v>6</v>
      </c>
      <c r="E534" s="167">
        <f>E535+E543</f>
        <v>2705513.39</v>
      </c>
    </row>
    <row r="535" spans="1:5" ht="36" outlineLevel="6">
      <c r="A535" s="196" t="s">
        <v>868</v>
      </c>
      <c r="B535" s="163" t="s">
        <v>527</v>
      </c>
      <c r="C535" s="163" t="s">
        <v>136</v>
      </c>
      <c r="D535" s="163" t="s">
        <v>6</v>
      </c>
      <c r="E535" s="167">
        <f>E536</f>
        <v>202147.39</v>
      </c>
    </row>
    <row r="536" spans="1:5" ht="21.75" customHeight="1" outlineLevel="6">
      <c r="A536" s="164" t="s">
        <v>211</v>
      </c>
      <c r="B536" s="163" t="s">
        <v>527</v>
      </c>
      <c r="C536" s="163" t="s">
        <v>229</v>
      </c>
      <c r="D536" s="163" t="s">
        <v>6</v>
      </c>
      <c r="E536" s="167">
        <f>E537+E540</f>
        <v>202147.39</v>
      </c>
    </row>
    <row r="537" spans="1:5" ht="40.65" customHeight="1" outlineLevel="6">
      <c r="A537" s="164" t="s">
        <v>528</v>
      </c>
      <c r="B537" s="163" t="s">
        <v>527</v>
      </c>
      <c r="C537" s="163" t="s">
        <v>529</v>
      </c>
      <c r="D537" s="163" t="s">
        <v>6</v>
      </c>
      <c r="E537" s="167">
        <f>E538</f>
        <v>202147.39</v>
      </c>
    </row>
    <row r="538" spans="1:5" ht="36" outlineLevel="6">
      <c r="A538" s="164" t="s">
        <v>37</v>
      </c>
      <c r="B538" s="163" t="s">
        <v>527</v>
      </c>
      <c r="C538" s="163" t="s">
        <v>529</v>
      </c>
      <c r="D538" s="163" t="s">
        <v>38</v>
      </c>
      <c r="E538" s="167">
        <f>E539</f>
        <v>202147.39</v>
      </c>
    </row>
    <row r="539" spans="1:5" outlineLevel="6">
      <c r="A539" s="164" t="s">
        <v>74</v>
      </c>
      <c r="B539" s="163" t="s">
        <v>527</v>
      </c>
      <c r="C539" s="163" t="s">
        <v>529</v>
      </c>
      <c r="D539" s="163" t="s">
        <v>75</v>
      </c>
      <c r="E539" s="167">
        <f>'прил 11 '!F387</f>
        <v>202147.39</v>
      </c>
    </row>
    <row r="540" spans="1:5" ht="72" hidden="1" outlineLevel="6">
      <c r="A540" s="164" t="s">
        <v>903</v>
      </c>
      <c r="B540" s="163" t="s">
        <v>527</v>
      </c>
      <c r="C540" s="163" t="s">
        <v>902</v>
      </c>
      <c r="D540" s="163" t="s">
        <v>6</v>
      </c>
      <c r="E540" s="167">
        <f>E541</f>
        <v>0</v>
      </c>
    </row>
    <row r="541" spans="1:5" ht="36" hidden="1" outlineLevel="6">
      <c r="A541" s="164" t="s">
        <v>37</v>
      </c>
      <c r="B541" s="163" t="s">
        <v>527</v>
      </c>
      <c r="C541" s="163" t="s">
        <v>902</v>
      </c>
      <c r="D541" s="163" t="s">
        <v>38</v>
      </c>
      <c r="E541" s="167">
        <f>E542</f>
        <v>0</v>
      </c>
    </row>
    <row r="542" spans="1:5" hidden="1" outlineLevel="6">
      <c r="A542" s="164" t="s">
        <v>74</v>
      </c>
      <c r="B542" s="163" t="s">
        <v>527</v>
      </c>
      <c r="C542" s="163" t="s">
        <v>902</v>
      </c>
      <c r="D542" s="163" t="s">
        <v>75</v>
      </c>
      <c r="E542" s="167">
        <f>'прил 11 '!F390</f>
        <v>0</v>
      </c>
    </row>
    <row r="543" spans="1:5" ht="54" outlineLevel="6">
      <c r="A543" s="196" t="s">
        <v>880</v>
      </c>
      <c r="B543" s="197" t="s">
        <v>527</v>
      </c>
      <c r="C543" s="197" t="s">
        <v>331</v>
      </c>
      <c r="D543" s="197" t="s">
        <v>6</v>
      </c>
      <c r="E543" s="167">
        <f>E544</f>
        <v>2503366</v>
      </c>
    </row>
    <row r="544" spans="1:5" ht="36" outlineLevel="6">
      <c r="A544" s="164" t="s">
        <v>215</v>
      </c>
      <c r="B544" s="163" t="s">
        <v>527</v>
      </c>
      <c r="C544" s="163" t="s">
        <v>332</v>
      </c>
      <c r="D544" s="163" t="s">
        <v>6</v>
      </c>
      <c r="E544" s="167">
        <f>E545</f>
        <v>2503366</v>
      </c>
    </row>
    <row r="545" spans="1:7" ht="36" outlineLevel="6">
      <c r="A545" s="164" t="s">
        <v>943</v>
      </c>
      <c r="B545" s="163" t="s">
        <v>527</v>
      </c>
      <c r="C545" s="163" t="s">
        <v>941</v>
      </c>
      <c r="D545" s="163" t="s">
        <v>6</v>
      </c>
      <c r="E545" s="167">
        <f>E546</f>
        <v>2503366</v>
      </c>
    </row>
    <row r="546" spans="1:7" ht="36" outlineLevel="6">
      <c r="A546" s="164" t="s">
        <v>15</v>
      </c>
      <c r="B546" s="163" t="s">
        <v>527</v>
      </c>
      <c r="C546" s="163" t="s">
        <v>941</v>
      </c>
      <c r="D546" s="163" t="s">
        <v>16</v>
      </c>
      <c r="E546" s="167">
        <f>E547</f>
        <v>2503366</v>
      </c>
    </row>
    <row r="547" spans="1:7" ht="36" outlineLevel="6">
      <c r="A547" s="164" t="s">
        <v>17</v>
      </c>
      <c r="B547" s="163" t="s">
        <v>527</v>
      </c>
      <c r="C547" s="163" t="s">
        <v>941</v>
      </c>
      <c r="D547" s="163" t="s">
        <v>18</v>
      </c>
      <c r="E547" s="167">
        <f>'прил 11 '!F395</f>
        <v>2503366</v>
      </c>
    </row>
    <row r="548" spans="1:7" s="264" customFormat="1">
      <c r="A548" s="164" t="s">
        <v>85</v>
      </c>
      <c r="B548" s="192" t="s">
        <v>86</v>
      </c>
      <c r="C548" s="192" t="s">
        <v>126</v>
      </c>
      <c r="D548" s="192" t="s">
        <v>6</v>
      </c>
      <c r="E548" s="215">
        <f>E549+E574+E554</f>
        <v>59206989.169999994</v>
      </c>
      <c r="G548" s="263">
        <f>E548/'прил 11 '!F687*100</f>
        <v>6.1652401694240817</v>
      </c>
    </row>
    <row r="549" spans="1:7" outlineLevel="1">
      <c r="A549" s="164" t="s">
        <v>87</v>
      </c>
      <c r="B549" s="163" t="s">
        <v>88</v>
      </c>
      <c r="C549" s="163" t="s">
        <v>126</v>
      </c>
      <c r="D549" s="163" t="s">
        <v>6</v>
      </c>
      <c r="E549" s="167">
        <f>E550</f>
        <v>5386176</v>
      </c>
    </row>
    <row r="550" spans="1:7" outlineLevel="3">
      <c r="A550" s="164" t="s">
        <v>198</v>
      </c>
      <c r="B550" s="163" t="s">
        <v>88</v>
      </c>
      <c r="C550" s="163" t="s">
        <v>127</v>
      </c>
      <c r="D550" s="163" t="s">
        <v>6</v>
      </c>
      <c r="E550" s="167">
        <f>E551</f>
        <v>5386176</v>
      </c>
    </row>
    <row r="551" spans="1:7" outlineLevel="4">
      <c r="A551" s="164" t="s">
        <v>89</v>
      </c>
      <c r="B551" s="163" t="s">
        <v>88</v>
      </c>
      <c r="C551" s="163" t="s">
        <v>142</v>
      </c>
      <c r="D551" s="163" t="s">
        <v>6</v>
      </c>
      <c r="E551" s="167">
        <f>E552</f>
        <v>5386176</v>
      </c>
    </row>
    <row r="552" spans="1:7" outlineLevel="5">
      <c r="A552" s="164" t="s">
        <v>90</v>
      </c>
      <c r="B552" s="163" t="s">
        <v>88</v>
      </c>
      <c r="C552" s="163" t="s">
        <v>142</v>
      </c>
      <c r="D552" s="163" t="s">
        <v>91</v>
      </c>
      <c r="E552" s="167">
        <f>E553</f>
        <v>5386176</v>
      </c>
    </row>
    <row r="553" spans="1:7" outlineLevel="6">
      <c r="A553" s="164" t="s">
        <v>92</v>
      </c>
      <c r="B553" s="163" t="s">
        <v>88</v>
      </c>
      <c r="C553" s="163" t="s">
        <v>142</v>
      </c>
      <c r="D553" s="163" t="s">
        <v>93</v>
      </c>
      <c r="E553" s="167">
        <f>'прил 11 '!F401</f>
        <v>5386176</v>
      </c>
    </row>
    <row r="554" spans="1:7" outlineLevel="6">
      <c r="A554" s="164" t="s">
        <v>94</v>
      </c>
      <c r="B554" s="163" t="s">
        <v>95</v>
      </c>
      <c r="C554" s="163" t="s">
        <v>126</v>
      </c>
      <c r="D554" s="163" t="s">
        <v>6</v>
      </c>
      <c r="E554" s="167">
        <f>E555+E560+E565+E570</f>
        <v>2302359.04</v>
      </c>
    </row>
    <row r="555" spans="1:7" ht="36" outlineLevel="6">
      <c r="A555" s="196" t="s">
        <v>853</v>
      </c>
      <c r="B555" s="197" t="s">
        <v>95</v>
      </c>
      <c r="C555" s="197" t="s">
        <v>138</v>
      </c>
      <c r="D555" s="197" t="s">
        <v>6</v>
      </c>
      <c r="E555" s="167">
        <f>E556</f>
        <v>1310000</v>
      </c>
    </row>
    <row r="556" spans="1:7" outlineLevel="6">
      <c r="A556" s="200" t="s">
        <v>752</v>
      </c>
      <c r="B556" s="163" t="s">
        <v>95</v>
      </c>
      <c r="C556" s="163" t="s">
        <v>750</v>
      </c>
      <c r="D556" s="163" t="s">
        <v>6</v>
      </c>
      <c r="E556" s="167">
        <f>E557</f>
        <v>1310000</v>
      </c>
    </row>
    <row r="557" spans="1:7" ht="57.75" customHeight="1" outlineLevel="6">
      <c r="A557" s="187" t="s">
        <v>405</v>
      </c>
      <c r="B557" s="163" t="s">
        <v>95</v>
      </c>
      <c r="C557" s="163" t="s">
        <v>751</v>
      </c>
      <c r="D557" s="163" t="s">
        <v>6</v>
      </c>
      <c r="E557" s="167">
        <f>E558</f>
        <v>1310000</v>
      </c>
    </row>
    <row r="558" spans="1:7" outlineLevel="6">
      <c r="A558" s="164" t="s">
        <v>90</v>
      </c>
      <c r="B558" s="163" t="s">
        <v>95</v>
      </c>
      <c r="C558" s="163" t="s">
        <v>751</v>
      </c>
      <c r="D558" s="163" t="s">
        <v>91</v>
      </c>
      <c r="E558" s="167">
        <f>E559</f>
        <v>1310000</v>
      </c>
    </row>
    <row r="559" spans="1:7" ht="21.15" customHeight="1" outlineLevel="6">
      <c r="A559" s="164" t="s">
        <v>97</v>
      </c>
      <c r="B559" s="163" t="s">
        <v>95</v>
      </c>
      <c r="C559" s="163" t="s">
        <v>751</v>
      </c>
      <c r="D559" s="163" t="s">
        <v>98</v>
      </c>
      <c r="E559" s="167">
        <f>'прил 11 '!F651</f>
        <v>1310000</v>
      </c>
    </row>
    <row r="560" spans="1:7" ht="36" outlineLevel="6">
      <c r="A560" s="196" t="s">
        <v>890</v>
      </c>
      <c r="B560" s="197" t="s">
        <v>95</v>
      </c>
      <c r="C560" s="197" t="s">
        <v>129</v>
      </c>
      <c r="D560" s="197" t="s">
        <v>6</v>
      </c>
      <c r="E560" s="167">
        <f>E561</f>
        <v>150000</v>
      </c>
    </row>
    <row r="561" spans="1:5" ht="36" outlineLevel="6">
      <c r="A561" s="164" t="s">
        <v>372</v>
      </c>
      <c r="B561" s="163" t="s">
        <v>95</v>
      </c>
      <c r="C561" s="163" t="s">
        <v>413</v>
      </c>
      <c r="D561" s="163" t="s">
        <v>6</v>
      </c>
      <c r="E561" s="167">
        <f>E562</f>
        <v>150000</v>
      </c>
    </row>
    <row r="562" spans="1:5" ht="20.25" customHeight="1" outlineLevel="6">
      <c r="A562" s="164" t="s">
        <v>99</v>
      </c>
      <c r="B562" s="163" t="s">
        <v>95</v>
      </c>
      <c r="C562" s="163" t="s">
        <v>416</v>
      </c>
      <c r="D562" s="163" t="s">
        <v>6</v>
      </c>
      <c r="E562" s="167">
        <f>E563</f>
        <v>150000</v>
      </c>
    </row>
    <row r="563" spans="1:5" outlineLevel="6">
      <c r="A563" s="164" t="s">
        <v>90</v>
      </c>
      <c r="B563" s="163" t="s">
        <v>95</v>
      </c>
      <c r="C563" s="163" t="s">
        <v>416</v>
      </c>
      <c r="D563" s="163" t="s">
        <v>91</v>
      </c>
      <c r="E563" s="167">
        <f>E564</f>
        <v>150000</v>
      </c>
    </row>
    <row r="564" spans="1:5" ht="18" customHeight="1" outlineLevel="6">
      <c r="A564" s="164" t="s">
        <v>97</v>
      </c>
      <c r="B564" s="163" t="s">
        <v>95</v>
      </c>
      <c r="C564" s="163" t="s">
        <v>416</v>
      </c>
      <c r="D564" s="163" t="s">
        <v>98</v>
      </c>
      <c r="E564" s="167">
        <f>'прил 11 '!F407</f>
        <v>150000</v>
      </c>
    </row>
    <row r="565" spans="1:5" ht="36" outlineLevel="6">
      <c r="A565" s="196" t="s">
        <v>885</v>
      </c>
      <c r="B565" s="197" t="s">
        <v>95</v>
      </c>
      <c r="C565" s="197" t="s">
        <v>374</v>
      </c>
      <c r="D565" s="197" t="s">
        <v>6</v>
      </c>
      <c r="E565" s="167">
        <f>E566</f>
        <v>742359.04000000004</v>
      </c>
    </row>
    <row r="566" spans="1:5" ht="36" outlineLevel="6">
      <c r="A566" s="164" t="s">
        <v>394</v>
      </c>
      <c r="B566" s="163" t="s">
        <v>95</v>
      </c>
      <c r="C566" s="163" t="s">
        <v>375</v>
      </c>
      <c r="D566" s="163" t="s">
        <v>6</v>
      </c>
      <c r="E566" s="167">
        <f>E567</f>
        <v>742359.04000000004</v>
      </c>
    </row>
    <row r="567" spans="1:5" ht="36" outlineLevel="6">
      <c r="A567" s="164" t="s">
        <v>96</v>
      </c>
      <c r="B567" s="163" t="s">
        <v>95</v>
      </c>
      <c r="C567" s="163" t="s">
        <v>376</v>
      </c>
      <c r="D567" s="163" t="s">
        <v>6</v>
      </c>
      <c r="E567" s="167">
        <f>E568</f>
        <v>742359.04000000004</v>
      </c>
    </row>
    <row r="568" spans="1:5" outlineLevel="6">
      <c r="A568" s="164" t="s">
        <v>90</v>
      </c>
      <c r="B568" s="163" t="s">
        <v>95</v>
      </c>
      <c r="C568" s="163" t="s">
        <v>376</v>
      </c>
      <c r="D568" s="163" t="s">
        <v>91</v>
      </c>
      <c r="E568" s="167">
        <f>E569</f>
        <v>742359.04000000004</v>
      </c>
    </row>
    <row r="569" spans="1:5" ht="19.5" customHeight="1" outlineLevel="6">
      <c r="A569" s="164" t="s">
        <v>97</v>
      </c>
      <c r="B569" s="163" t="s">
        <v>95</v>
      </c>
      <c r="C569" s="163" t="s">
        <v>376</v>
      </c>
      <c r="D569" s="163" t="s">
        <v>98</v>
      </c>
      <c r="E569" s="167">
        <f>'прил 11 '!F412</f>
        <v>742359.04000000004</v>
      </c>
    </row>
    <row r="570" spans="1:5" ht="19.5" customHeight="1" outlineLevel="6">
      <c r="A570" s="164" t="s">
        <v>132</v>
      </c>
      <c r="B570" s="163" t="s">
        <v>95</v>
      </c>
      <c r="C570" s="163" t="s">
        <v>127</v>
      </c>
      <c r="D570" s="163" t="s">
        <v>6</v>
      </c>
      <c r="E570" s="167">
        <f>E571</f>
        <v>100000</v>
      </c>
    </row>
    <row r="571" spans="1:5" ht="36" outlineLevel="6">
      <c r="A571" s="164" t="s">
        <v>530</v>
      </c>
      <c r="B571" s="163" t="s">
        <v>95</v>
      </c>
      <c r="C571" s="163" t="s">
        <v>543</v>
      </c>
      <c r="D571" s="163" t="s">
        <v>6</v>
      </c>
      <c r="E571" s="167">
        <f>E572</f>
        <v>100000</v>
      </c>
    </row>
    <row r="572" spans="1:5" outlineLevel="6">
      <c r="A572" s="164" t="s">
        <v>90</v>
      </c>
      <c r="B572" s="163" t="s">
        <v>95</v>
      </c>
      <c r="C572" s="163" t="s">
        <v>543</v>
      </c>
      <c r="D572" s="163" t="s">
        <v>91</v>
      </c>
      <c r="E572" s="167">
        <f>E573</f>
        <v>100000</v>
      </c>
    </row>
    <row r="573" spans="1:5" outlineLevel="6">
      <c r="A573" s="164" t="s">
        <v>309</v>
      </c>
      <c r="B573" s="163" t="s">
        <v>95</v>
      </c>
      <c r="C573" s="163" t="s">
        <v>543</v>
      </c>
      <c r="D573" s="163" t="s">
        <v>310</v>
      </c>
      <c r="E573" s="167">
        <f>'прил 11 '!F416</f>
        <v>100000</v>
      </c>
    </row>
    <row r="574" spans="1:5" outlineLevel="1">
      <c r="A574" s="164" t="s">
        <v>123</v>
      </c>
      <c r="B574" s="163" t="s">
        <v>124</v>
      </c>
      <c r="C574" s="163" t="s">
        <v>126</v>
      </c>
      <c r="D574" s="163" t="s">
        <v>6</v>
      </c>
      <c r="E574" s="167">
        <f>E575+E583</f>
        <v>51518454.129999995</v>
      </c>
    </row>
    <row r="575" spans="1:5" ht="36" outlineLevel="2">
      <c r="A575" s="196" t="s">
        <v>855</v>
      </c>
      <c r="B575" s="197" t="s">
        <v>124</v>
      </c>
      <c r="C575" s="197" t="s">
        <v>138</v>
      </c>
      <c r="D575" s="197" t="s">
        <v>6</v>
      </c>
      <c r="E575" s="167">
        <f>E576</f>
        <v>3179069</v>
      </c>
    </row>
    <row r="576" spans="1:5" ht="36" outlineLevel="3">
      <c r="A576" s="164" t="s">
        <v>862</v>
      </c>
      <c r="B576" s="163" t="s">
        <v>124</v>
      </c>
      <c r="C576" s="163" t="s">
        <v>139</v>
      </c>
      <c r="D576" s="163" t="s">
        <v>6</v>
      </c>
      <c r="E576" s="167">
        <f>E577</f>
        <v>3179069</v>
      </c>
    </row>
    <row r="577" spans="1:5" ht="29.25" customHeight="1" outlineLevel="4">
      <c r="A577" s="200" t="s">
        <v>204</v>
      </c>
      <c r="B577" s="163" t="s">
        <v>124</v>
      </c>
      <c r="C577" s="163" t="s">
        <v>234</v>
      </c>
      <c r="D577" s="163" t="s">
        <v>6</v>
      </c>
      <c r="E577" s="167">
        <f>E578</f>
        <v>3179069</v>
      </c>
    </row>
    <row r="578" spans="1:5" ht="119.55" customHeight="1" outlineLevel="5">
      <c r="A578" s="187" t="s">
        <v>668</v>
      </c>
      <c r="B578" s="163" t="s">
        <v>124</v>
      </c>
      <c r="C578" s="163" t="s">
        <v>156</v>
      </c>
      <c r="D578" s="163" t="s">
        <v>6</v>
      </c>
      <c r="E578" s="167">
        <f>E581+E579</f>
        <v>3179069</v>
      </c>
    </row>
    <row r="579" spans="1:5" ht="24.75" hidden="1" customHeight="1" outlineLevel="5">
      <c r="A579" s="164" t="s">
        <v>15</v>
      </c>
      <c r="B579" s="163" t="s">
        <v>124</v>
      </c>
      <c r="C579" s="163" t="s">
        <v>156</v>
      </c>
      <c r="D579" s="163" t="s">
        <v>16</v>
      </c>
      <c r="E579" s="167">
        <f>E580</f>
        <v>0</v>
      </c>
    </row>
    <row r="580" spans="1:5" ht="37.5" hidden="1" customHeight="1" outlineLevel="5">
      <c r="A580" s="164" t="s">
        <v>17</v>
      </c>
      <c r="B580" s="163" t="s">
        <v>124</v>
      </c>
      <c r="C580" s="163" t="s">
        <v>156</v>
      </c>
      <c r="D580" s="163" t="s">
        <v>18</v>
      </c>
      <c r="E580" s="167">
        <f>'прил 11 '!F658</f>
        <v>0</v>
      </c>
    </row>
    <row r="581" spans="1:5" outlineLevel="6">
      <c r="A581" s="164" t="s">
        <v>90</v>
      </c>
      <c r="B581" s="163" t="s">
        <v>124</v>
      </c>
      <c r="C581" s="163" t="s">
        <v>156</v>
      </c>
      <c r="D581" s="163" t="s">
        <v>91</v>
      </c>
      <c r="E581" s="167">
        <f>E582</f>
        <v>3179069</v>
      </c>
    </row>
    <row r="582" spans="1:5" ht="17.399999999999999" customHeight="1" outlineLevel="6">
      <c r="A582" s="164" t="s">
        <v>97</v>
      </c>
      <c r="B582" s="163" t="s">
        <v>124</v>
      </c>
      <c r="C582" s="163" t="s">
        <v>156</v>
      </c>
      <c r="D582" s="163" t="s">
        <v>98</v>
      </c>
      <c r="E582" s="167">
        <f>'прил 11 '!F660</f>
        <v>3179069</v>
      </c>
    </row>
    <row r="583" spans="1:5" ht="20.25" customHeight="1" outlineLevel="6">
      <c r="A583" s="164" t="s">
        <v>132</v>
      </c>
      <c r="B583" s="163" t="s">
        <v>124</v>
      </c>
      <c r="C583" s="163" t="s">
        <v>127</v>
      </c>
      <c r="D583" s="163" t="s">
        <v>6</v>
      </c>
      <c r="E583" s="167">
        <f>E584</f>
        <v>48339385.129999995</v>
      </c>
    </row>
    <row r="584" spans="1:5" outlineLevel="6">
      <c r="A584" s="164" t="s">
        <v>277</v>
      </c>
      <c r="B584" s="163" t="s">
        <v>124</v>
      </c>
      <c r="C584" s="163" t="s">
        <v>276</v>
      </c>
      <c r="D584" s="163" t="s">
        <v>6</v>
      </c>
      <c r="E584" s="167">
        <f>E597+E585+E588+E594</f>
        <v>48339385.129999995</v>
      </c>
    </row>
    <row r="585" spans="1:5" ht="57.15" hidden="1" customHeight="1" outlineLevel="6">
      <c r="A585" s="164" t="s">
        <v>429</v>
      </c>
      <c r="B585" s="163" t="s">
        <v>124</v>
      </c>
      <c r="C585" s="163" t="s">
        <v>430</v>
      </c>
      <c r="D585" s="163" t="s">
        <v>6</v>
      </c>
      <c r="E585" s="167">
        <f>E586</f>
        <v>0</v>
      </c>
    </row>
    <row r="586" spans="1:5" hidden="1" outlineLevel="6">
      <c r="A586" s="164" t="s">
        <v>90</v>
      </c>
      <c r="B586" s="163" t="s">
        <v>124</v>
      </c>
      <c r="C586" s="163" t="s">
        <v>430</v>
      </c>
      <c r="D586" s="163" t="s">
        <v>91</v>
      </c>
      <c r="E586" s="167">
        <f>E587</f>
        <v>0</v>
      </c>
    </row>
    <row r="587" spans="1:5" hidden="1" outlineLevel="6">
      <c r="A587" s="164" t="s">
        <v>92</v>
      </c>
      <c r="B587" s="163" t="s">
        <v>124</v>
      </c>
      <c r="C587" s="163" t="s">
        <v>430</v>
      </c>
      <c r="D587" s="163" t="s">
        <v>93</v>
      </c>
      <c r="E587" s="167">
        <f>'прил 11 '!F422</f>
        <v>0</v>
      </c>
    </row>
    <row r="588" spans="1:5" ht="78.75" customHeight="1" outlineLevel="6">
      <c r="A588" s="187" t="s">
        <v>431</v>
      </c>
      <c r="B588" s="163" t="s">
        <v>124</v>
      </c>
      <c r="C588" s="163" t="s">
        <v>432</v>
      </c>
      <c r="D588" s="163" t="s">
        <v>6</v>
      </c>
      <c r="E588" s="167">
        <f>E589+E591</f>
        <v>21927344.399999999</v>
      </c>
    </row>
    <row r="589" spans="1:5" ht="17.399999999999999" customHeight="1" outlineLevel="6">
      <c r="A589" s="164" t="s">
        <v>15</v>
      </c>
      <c r="B589" s="163" t="s">
        <v>124</v>
      </c>
      <c r="C589" s="163" t="s">
        <v>432</v>
      </c>
      <c r="D589" s="163" t="s">
        <v>16</v>
      </c>
      <c r="E589" s="167">
        <f>E590</f>
        <v>130000</v>
      </c>
    </row>
    <row r="590" spans="1:5" ht="23.25" customHeight="1" outlineLevel="6">
      <c r="A590" s="164" t="s">
        <v>17</v>
      </c>
      <c r="B590" s="163" t="s">
        <v>124</v>
      </c>
      <c r="C590" s="163" t="s">
        <v>432</v>
      </c>
      <c r="D590" s="163" t="s">
        <v>18</v>
      </c>
      <c r="E590" s="167">
        <f>'прил 11 '!F425</f>
        <v>130000</v>
      </c>
    </row>
    <row r="591" spans="1:5" outlineLevel="6">
      <c r="A591" s="164" t="s">
        <v>90</v>
      </c>
      <c r="B591" s="163" t="s">
        <v>124</v>
      </c>
      <c r="C591" s="163" t="s">
        <v>432</v>
      </c>
      <c r="D591" s="163" t="s">
        <v>91</v>
      </c>
      <c r="E591" s="167">
        <f>E592+E593</f>
        <v>21797344.399999999</v>
      </c>
    </row>
    <row r="592" spans="1:5" outlineLevel="6">
      <c r="A592" s="164" t="s">
        <v>92</v>
      </c>
      <c r="B592" s="163" t="s">
        <v>124</v>
      </c>
      <c r="C592" s="163" t="s">
        <v>432</v>
      </c>
      <c r="D592" s="163" t="s">
        <v>93</v>
      </c>
      <c r="E592" s="167">
        <f>'прил 11 '!F427</f>
        <v>19797344.399999999</v>
      </c>
    </row>
    <row r="593" spans="1:7" ht="18.75" customHeight="1" outlineLevel="6">
      <c r="A593" s="164" t="s">
        <v>97</v>
      </c>
      <c r="B593" s="163" t="s">
        <v>124</v>
      </c>
      <c r="C593" s="163" t="s">
        <v>432</v>
      </c>
      <c r="D593" s="163" t="s">
        <v>98</v>
      </c>
      <c r="E593" s="167">
        <f>'прил 11 '!F428</f>
        <v>2000000</v>
      </c>
    </row>
    <row r="594" spans="1:7" ht="78" customHeight="1" outlineLevel="6">
      <c r="A594" s="187" t="s">
        <v>775</v>
      </c>
      <c r="B594" s="163" t="s">
        <v>124</v>
      </c>
      <c r="C594" s="163" t="s">
        <v>814</v>
      </c>
      <c r="D594" s="163" t="s">
        <v>6</v>
      </c>
      <c r="E594" s="167">
        <f>E595</f>
        <v>16214571.039999999</v>
      </c>
    </row>
    <row r="595" spans="1:7" ht="39.15" customHeight="1" outlineLevel="6">
      <c r="A595" s="164" t="s">
        <v>264</v>
      </c>
      <c r="B595" s="163" t="s">
        <v>124</v>
      </c>
      <c r="C595" s="163" t="s">
        <v>814</v>
      </c>
      <c r="D595" s="163" t="s">
        <v>265</v>
      </c>
      <c r="E595" s="167">
        <f>E596</f>
        <v>16214571.039999999</v>
      </c>
    </row>
    <row r="596" spans="1:7" ht="21.75" customHeight="1" outlineLevel="6">
      <c r="A596" s="164" t="s">
        <v>266</v>
      </c>
      <c r="B596" s="163" t="s">
        <v>124</v>
      </c>
      <c r="C596" s="163" t="s">
        <v>814</v>
      </c>
      <c r="D596" s="163" t="s">
        <v>267</v>
      </c>
      <c r="E596" s="167">
        <f>'прил 11 '!F431</f>
        <v>16214571.039999999</v>
      </c>
    </row>
    <row r="597" spans="1:7" ht="94.65" customHeight="1" outlineLevel="6">
      <c r="A597" s="187" t="s">
        <v>667</v>
      </c>
      <c r="B597" s="163" t="s">
        <v>124</v>
      </c>
      <c r="C597" s="163" t="s">
        <v>295</v>
      </c>
      <c r="D597" s="163" t="s">
        <v>6</v>
      </c>
      <c r="E597" s="167">
        <f>E598</f>
        <v>10197469.689999999</v>
      </c>
    </row>
    <row r="598" spans="1:7" ht="36" outlineLevel="6">
      <c r="A598" s="164" t="s">
        <v>264</v>
      </c>
      <c r="B598" s="163" t="s">
        <v>124</v>
      </c>
      <c r="C598" s="163" t="s">
        <v>295</v>
      </c>
      <c r="D598" s="163" t="s">
        <v>265</v>
      </c>
      <c r="E598" s="167">
        <f>E599</f>
        <v>10197469.689999999</v>
      </c>
    </row>
    <row r="599" spans="1:7" outlineLevel="6">
      <c r="A599" s="164" t="s">
        <v>266</v>
      </c>
      <c r="B599" s="163" t="s">
        <v>124</v>
      </c>
      <c r="C599" s="163" t="s">
        <v>295</v>
      </c>
      <c r="D599" s="163" t="s">
        <v>267</v>
      </c>
      <c r="E599" s="167">
        <f>'прил 11 '!F434</f>
        <v>10197469.689999999</v>
      </c>
    </row>
    <row r="600" spans="1:7" s="264" customFormat="1">
      <c r="A600" s="164" t="s">
        <v>100</v>
      </c>
      <c r="B600" s="192" t="s">
        <v>101</v>
      </c>
      <c r="C600" s="192" t="s">
        <v>126</v>
      </c>
      <c r="D600" s="192" t="s">
        <v>6</v>
      </c>
      <c r="E600" s="215">
        <f>E601</f>
        <v>2763559.99</v>
      </c>
      <c r="G600" s="263">
        <f>E600/'прил 11 '!F687*100</f>
        <v>0.28777026664943683</v>
      </c>
    </row>
    <row r="601" spans="1:7" outlineLevel="1">
      <c r="A601" s="164" t="s">
        <v>301</v>
      </c>
      <c r="B601" s="163" t="s">
        <v>300</v>
      </c>
      <c r="C601" s="163" t="s">
        <v>126</v>
      </c>
      <c r="D601" s="163" t="s">
        <v>6</v>
      </c>
      <c r="E601" s="167">
        <f>E602+E625</f>
        <v>2763559.99</v>
      </c>
    </row>
    <row r="602" spans="1:7" ht="45.75" customHeight="1" outlineLevel="2">
      <c r="A602" s="196" t="s">
        <v>864</v>
      </c>
      <c r="B602" s="197" t="s">
        <v>300</v>
      </c>
      <c r="C602" s="197" t="s">
        <v>200</v>
      </c>
      <c r="D602" s="197" t="s">
        <v>6</v>
      </c>
      <c r="E602" s="167">
        <f>E609+E603</f>
        <v>2713559.99</v>
      </c>
    </row>
    <row r="603" spans="1:7" ht="36" outlineLevel="6">
      <c r="A603" s="164" t="s">
        <v>865</v>
      </c>
      <c r="B603" s="163" t="s">
        <v>300</v>
      </c>
      <c r="C603" s="163" t="s">
        <v>230</v>
      </c>
      <c r="D603" s="163" t="s">
        <v>6</v>
      </c>
      <c r="E603" s="167">
        <f>E604</f>
        <v>861000</v>
      </c>
    </row>
    <row r="604" spans="1:7" outlineLevel="6">
      <c r="A604" s="164" t="s">
        <v>102</v>
      </c>
      <c r="B604" s="163" t="s">
        <v>300</v>
      </c>
      <c r="C604" s="163" t="s">
        <v>201</v>
      </c>
      <c r="D604" s="163" t="s">
        <v>6</v>
      </c>
      <c r="E604" s="167">
        <f>E605+E607</f>
        <v>861000</v>
      </c>
    </row>
    <row r="605" spans="1:7" ht="18.75" customHeight="1" outlineLevel="6">
      <c r="A605" s="164" t="s">
        <v>15</v>
      </c>
      <c r="B605" s="163" t="s">
        <v>300</v>
      </c>
      <c r="C605" s="163" t="s">
        <v>201</v>
      </c>
      <c r="D605" s="163" t="s">
        <v>16</v>
      </c>
      <c r="E605" s="167">
        <f>E606</f>
        <v>831000</v>
      </c>
    </row>
    <row r="606" spans="1:7" ht="19.5" customHeight="1" outlineLevel="6">
      <c r="A606" s="164" t="s">
        <v>17</v>
      </c>
      <c r="B606" s="163" t="s">
        <v>300</v>
      </c>
      <c r="C606" s="163" t="s">
        <v>201</v>
      </c>
      <c r="D606" s="163" t="s">
        <v>18</v>
      </c>
      <c r="E606" s="167">
        <f>'прил 11 '!F441</f>
        <v>831000</v>
      </c>
    </row>
    <row r="607" spans="1:7" ht="21.15" customHeight="1" outlineLevel="6">
      <c r="A607" s="164" t="s">
        <v>271</v>
      </c>
      <c r="B607" s="163" t="s">
        <v>300</v>
      </c>
      <c r="C607" s="163" t="s">
        <v>201</v>
      </c>
      <c r="D607" s="163" t="s">
        <v>20</v>
      </c>
      <c r="E607" s="167">
        <f>E608</f>
        <v>30000</v>
      </c>
    </row>
    <row r="608" spans="1:7" ht="21.15" customHeight="1" outlineLevel="6">
      <c r="A608" s="164" t="s">
        <v>272</v>
      </c>
      <c r="B608" s="163" t="s">
        <v>300</v>
      </c>
      <c r="C608" s="163" t="s">
        <v>201</v>
      </c>
      <c r="D608" s="163" t="s">
        <v>22</v>
      </c>
      <c r="E608" s="167">
        <f>'прил 11 '!F443</f>
        <v>30000</v>
      </c>
    </row>
    <row r="609" spans="1:5" outlineLevel="2">
      <c r="A609" s="164" t="s">
        <v>378</v>
      </c>
      <c r="B609" s="163" t="s">
        <v>300</v>
      </c>
      <c r="C609" s="163" t="s">
        <v>303</v>
      </c>
      <c r="D609" s="163" t="s">
        <v>6</v>
      </c>
      <c r="E609" s="167">
        <f>E610+E613+E619+E622</f>
        <v>1852559.99</v>
      </c>
    </row>
    <row r="610" spans="1:5" ht="18.75" customHeight="1" outlineLevel="2">
      <c r="A610" s="164" t="s">
        <v>281</v>
      </c>
      <c r="B610" s="163" t="s">
        <v>300</v>
      </c>
      <c r="C610" s="163" t="s">
        <v>302</v>
      </c>
      <c r="D610" s="163" t="s">
        <v>6</v>
      </c>
      <c r="E610" s="167">
        <f>E611+E616</f>
        <v>1127310</v>
      </c>
    </row>
    <row r="611" spans="1:5" ht="36" outlineLevel="2">
      <c r="A611" s="164" t="s">
        <v>264</v>
      </c>
      <c r="B611" s="163" t="s">
        <v>300</v>
      </c>
      <c r="C611" s="163" t="s">
        <v>302</v>
      </c>
      <c r="D611" s="163" t="s">
        <v>265</v>
      </c>
      <c r="E611" s="167">
        <f>E612</f>
        <v>1127310</v>
      </c>
    </row>
    <row r="612" spans="1:5" ht="17.399999999999999" customHeight="1" outlineLevel="4">
      <c r="A612" s="164" t="s">
        <v>266</v>
      </c>
      <c r="B612" s="163" t="s">
        <v>300</v>
      </c>
      <c r="C612" s="163" t="s">
        <v>302</v>
      </c>
      <c r="D612" s="163" t="s">
        <v>267</v>
      </c>
      <c r="E612" s="167">
        <f>'прил 11 '!F447</f>
        <v>1127310</v>
      </c>
    </row>
    <row r="613" spans="1:5" ht="43.5" hidden="1" customHeight="1" outlineLevel="4">
      <c r="A613" s="164" t="s">
        <v>613</v>
      </c>
      <c r="B613" s="163" t="s">
        <v>300</v>
      </c>
      <c r="C613" s="163" t="s">
        <v>684</v>
      </c>
      <c r="D613" s="163" t="s">
        <v>6</v>
      </c>
      <c r="E613" s="167">
        <f>E614</f>
        <v>0</v>
      </c>
    </row>
    <row r="614" spans="1:5" ht="36" hidden="1" outlineLevel="4">
      <c r="A614" s="164" t="s">
        <v>37</v>
      </c>
      <c r="B614" s="163" t="s">
        <v>300</v>
      </c>
      <c r="C614" s="163" t="s">
        <v>684</v>
      </c>
      <c r="D614" s="163" t="s">
        <v>38</v>
      </c>
      <c r="E614" s="167">
        <f>E615</f>
        <v>0</v>
      </c>
    </row>
    <row r="615" spans="1:5" hidden="1" outlineLevel="4">
      <c r="A615" s="164" t="s">
        <v>74</v>
      </c>
      <c r="B615" s="163" t="s">
        <v>300</v>
      </c>
      <c r="C615" s="163" t="s">
        <v>684</v>
      </c>
      <c r="D615" s="163" t="s">
        <v>75</v>
      </c>
      <c r="E615" s="167">
        <v>0</v>
      </c>
    </row>
    <row r="616" spans="1:5" ht="36" hidden="1" outlineLevel="4">
      <c r="A616" s="164" t="s">
        <v>281</v>
      </c>
      <c r="B616" s="163" t="s">
        <v>300</v>
      </c>
      <c r="C616" s="163" t="s">
        <v>302</v>
      </c>
      <c r="D616" s="169" t="s">
        <v>6</v>
      </c>
      <c r="E616" s="167">
        <f>E617</f>
        <v>0</v>
      </c>
    </row>
    <row r="617" spans="1:5" ht="36" hidden="1" outlineLevel="4">
      <c r="A617" s="164" t="s">
        <v>37</v>
      </c>
      <c r="B617" s="163" t="s">
        <v>300</v>
      </c>
      <c r="C617" s="163" t="s">
        <v>302</v>
      </c>
      <c r="D617" s="169" t="s">
        <v>38</v>
      </c>
      <c r="E617" s="167">
        <f>E618</f>
        <v>0</v>
      </c>
    </row>
    <row r="618" spans="1:5" hidden="1" outlineLevel="4">
      <c r="A618" s="164" t="s">
        <v>74</v>
      </c>
      <c r="B618" s="163" t="s">
        <v>300</v>
      </c>
      <c r="C618" s="163" t="s">
        <v>302</v>
      </c>
      <c r="D618" s="169" t="s">
        <v>75</v>
      </c>
      <c r="E618" s="167">
        <f>'прил 11 '!F668</f>
        <v>0</v>
      </c>
    </row>
    <row r="619" spans="1:5" ht="54" outlineLevel="4">
      <c r="A619" s="164" t="s">
        <v>778</v>
      </c>
      <c r="B619" s="163" t="s">
        <v>300</v>
      </c>
      <c r="C619" s="163" t="s">
        <v>779</v>
      </c>
      <c r="D619" s="169" t="s">
        <v>6</v>
      </c>
      <c r="E619" s="167">
        <f>E620</f>
        <v>703249.99</v>
      </c>
    </row>
    <row r="620" spans="1:5" ht="36" outlineLevel="4">
      <c r="A620" s="164" t="s">
        <v>15</v>
      </c>
      <c r="B620" s="163" t="s">
        <v>300</v>
      </c>
      <c r="C620" s="163" t="s">
        <v>779</v>
      </c>
      <c r="D620" s="169" t="s">
        <v>16</v>
      </c>
      <c r="E620" s="167">
        <f>E621</f>
        <v>703249.99</v>
      </c>
    </row>
    <row r="621" spans="1:5" ht="36" outlineLevel="4">
      <c r="A621" s="164" t="s">
        <v>17</v>
      </c>
      <c r="B621" s="163" t="s">
        <v>300</v>
      </c>
      <c r="C621" s="163" t="s">
        <v>779</v>
      </c>
      <c r="D621" s="169" t="s">
        <v>18</v>
      </c>
      <c r="E621" s="167">
        <f>'прил 11 '!F450</f>
        <v>703249.99</v>
      </c>
    </row>
    <row r="622" spans="1:5" ht="54" outlineLevel="4">
      <c r="A622" s="164" t="s">
        <v>791</v>
      </c>
      <c r="B622" s="163" t="s">
        <v>300</v>
      </c>
      <c r="C622" s="163" t="s">
        <v>790</v>
      </c>
      <c r="D622" s="169" t="s">
        <v>6</v>
      </c>
      <c r="E622" s="167">
        <f>E623</f>
        <v>22000</v>
      </c>
    </row>
    <row r="623" spans="1:5" ht="36" outlineLevel="4">
      <c r="A623" s="164" t="s">
        <v>15</v>
      </c>
      <c r="B623" s="163" t="s">
        <v>300</v>
      </c>
      <c r="C623" s="163" t="s">
        <v>790</v>
      </c>
      <c r="D623" s="169" t="s">
        <v>16</v>
      </c>
      <c r="E623" s="167">
        <f>E624</f>
        <v>22000</v>
      </c>
    </row>
    <row r="624" spans="1:5" ht="36" outlineLevel="4">
      <c r="A624" s="164" t="s">
        <v>17</v>
      </c>
      <c r="B624" s="163" t="s">
        <v>300</v>
      </c>
      <c r="C624" s="163" t="s">
        <v>790</v>
      </c>
      <c r="D624" s="169" t="s">
        <v>18</v>
      </c>
      <c r="E624" s="167">
        <f>'прил 11 '!F453</f>
        <v>22000</v>
      </c>
    </row>
    <row r="625" spans="1:7" ht="44.4" customHeight="1" outlineLevel="6">
      <c r="A625" s="196" t="s">
        <v>856</v>
      </c>
      <c r="B625" s="197" t="s">
        <v>300</v>
      </c>
      <c r="C625" s="197" t="s">
        <v>464</v>
      </c>
      <c r="D625" s="197" t="s">
        <v>6</v>
      </c>
      <c r="E625" s="167">
        <f>E626</f>
        <v>50000</v>
      </c>
    </row>
    <row r="626" spans="1:7" ht="34.5" customHeight="1" outlineLevel="6">
      <c r="A626" s="164" t="s">
        <v>465</v>
      </c>
      <c r="B626" s="163" t="s">
        <v>300</v>
      </c>
      <c r="C626" s="163" t="s">
        <v>466</v>
      </c>
      <c r="D626" s="163" t="s">
        <v>6</v>
      </c>
      <c r="E626" s="167">
        <f>E627</f>
        <v>50000</v>
      </c>
    </row>
    <row r="627" spans="1:7" ht="36" outlineLevel="6">
      <c r="A627" s="164" t="s">
        <v>467</v>
      </c>
      <c r="B627" s="163" t="s">
        <v>300</v>
      </c>
      <c r="C627" s="163" t="s">
        <v>468</v>
      </c>
      <c r="D627" s="163" t="s">
        <v>6</v>
      </c>
      <c r="E627" s="167">
        <f>E628</f>
        <v>50000</v>
      </c>
    </row>
    <row r="628" spans="1:7" ht="20.25" customHeight="1" outlineLevel="6">
      <c r="A628" s="164" t="s">
        <v>15</v>
      </c>
      <c r="B628" s="163" t="s">
        <v>300</v>
      </c>
      <c r="C628" s="163" t="s">
        <v>468</v>
      </c>
      <c r="D628" s="163" t="s">
        <v>16</v>
      </c>
      <c r="E628" s="167">
        <f>E629</f>
        <v>50000</v>
      </c>
    </row>
    <row r="629" spans="1:7" ht="22.65" customHeight="1" outlineLevel="6">
      <c r="A629" s="164" t="s">
        <v>17</v>
      </c>
      <c r="B629" s="163" t="s">
        <v>300</v>
      </c>
      <c r="C629" s="163" t="s">
        <v>468</v>
      </c>
      <c r="D629" s="163" t="s">
        <v>18</v>
      </c>
      <c r="E629" s="167">
        <f>'прил 11 '!F458</f>
        <v>50000</v>
      </c>
    </row>
    <row r="630" spans="1:7" s="264" customFormat="1">
      <c r="A630" s="164" t="s">
        <v>103</v>
      </c>
      <c r="B630" s="192" t="s">
        <v>104</v>
      </c>
      <c r="C630" s="192" t="s">
        <v>126</v>
      </c>
      <c r="D630" s="192" t="s">
        <v>6</v>
      </c>
      <c r="E630" s="215">
        <f t="shared" ref="E630:E635" si="1">E631</f>
        <v>2747000</v>
      </c>
      <c r="G630" s="263">
        <f>E630/'прил 11 '!F687*100</f>
        <v>0.2860458703073071</v>
      </c>
    </row>
    <row r="631" spans="1:7" outlineLevel="1">
      <c r="A631" s="164" t="s">
        <v>105</v>
      </c>
      <c r="B631" s="163" t="s">
        <v>106</v>
      </c>
      <c r="C631" s="163" t="s">
        <v>126</v>
      </c>
      <c r="D631" s="163" t="s">
        <v>6</v>
      </c>
      <c r="E631" s="167">
        <f t="shared" si="1"/>
        <v>2747000</v>
      </c>
    </row>
    <row r="632" spans="1:7" ht="39.75" customHeight="1" outlineLevel="2">
      <c r="A632" s="196" t="s">
        <v>857</v>
      </c>
      <c r="B632" s="197" t="s">
        <v>106</v>
      </c>
      <c r="C632" s="197" t="s">
        <v>317</v>
      </c>
      <c r="D632" s="197" t="s">
        <v>6</v>
      </c>
      <c r="E632" s="167">
        <f t="shared" si="1"/>
        <v>2747000</v>
      </c>
    </row>
    <row r="633" spans="1:7" ht="45.75" customHeight="1" outlineLevel="3">
      <c r="A633" s="200" t="s">
        <v>327</v>
      </c>
      <c r="B633" s="163" t="s">
        <v>106</v>
      </c>
      <c r="C633" s="163" t="s">
        <v>318</v>
      </c>
      <c r="D633" s="163" t="s">
        <v>6</v>
      </c>
      <c r="E633" s="167">
        <f t="shared" si="1"/>
        <v>2747000</v>
      </c>
    </row>
    <row r="634" spans="1:7" ht="36" outlineLevel="4">
      <c r="A634" s="164" t="s">
        <v>107</v>
      </c>
      <c r="B634" s="163" t="s">
        <v>106</v>
      </c>
      <c r="C634" s="163" t="s">
        <v>319</v>
      </c>
      <c r="D634" s="163" t="s">
        <v>6</v>
      </c>
      <c r="E634" s="167">
        <f t="shared" si="1"/>
        <v>2747000</v>
      </c>
    </row>
    <row r="635" spans="1:7" ht="36" outlineLevel="5">
      <c r="A635" s="164" t="s">
        <v>37</v>
      </c>
      <c r="B635" s="163" t="s">
        <v>106</v>
      </c>
      <c r="C635" s="163" t="s">
        <v>319</v>
      </c>
      <c r="D635" s="163" t="s">
        <v>38</v>
      </c>
      <c r="E635" s="167">
        <f t="shared" si="1"/>
        <v>2747000</v>
      </c>
    </row>
    <row r="636" spans="1:7" outlineLevel="6">
      <c r="A636" s="164" t="s">
        <v>39</v>
      </c>
      <c r="B636" s="163" t="s">
        <v>106</v>
      </c>
      <c r="C636" s="163" t="s">
        <v>319</v>
      </c>
      <c r="D636" s="163" t="s">
        <v>40</v>
      </c>
      <c r="E636" s="167">
        <f>'прил 11 '!F465</f>
        <v>2747000</v>
      </c>
    </row>
    <row r="637" spans="1:7" s="264" customFormat="1" ht="17.399999999999999">
      <c r="A637" s="366" t="s">
        <v>118</v>
      </c>
      <c r="B637" s="366"/>
      <c r="C637" s="366"/>
      <c r="D637" s="366"/>
      <c r="E637" s="287">
        <f>E16+E169+E179+E190+E236+E344+E360+E512+E548+E600+E630</f>
        <v>960335486.42000008</v>
      </c>
    </row>
    <row r="638" spans="1:7">
      <c r="A638" s="190"/>
      <c r="B638" s="190"/>
      <c r="C638" s="190"/>
      <c r="D638" s="190"/>
      <c r="E638" s="288"/>
    </row>
    <row r="639" spans="1:7">
      <c r="A639" s="289"/>
      <c r="B639" s="289"/>
      <c r="C639" s="289"/>
      <c r="D639" s="289"/>
      <c r="E639" s="290"/>
    </row>
    <row r="640" spans="1:7">
      <c r="C640" s="291"/>
      <c r="E640" s="292"/>
    </row>
    <row r="641" spans="2:8">
      <c r="B641" s="291" t="s">
        <v>8</v>
      </c>
      <c r="C641" s="292">
        <f>E362+E401+E441+E474+E493+E555+E575</f>
        <v>590381202.76999998</v>
      </c>
      <c r="E641" s="292"/>
    </row>
    <row r="642" spans="2:8">
      <c r="B642" s="291" t="s">
        <v>26</v>
      </c>
      <c r="C642" s="292">
        <f>E464+E514+E535</f>
        <v>52813523.520000003</v>
      </c>
      <c r="E642" s="292"/>
      <c r="G642" s="291"/>
      <c r="H642" s="291"/>
    </row>
    <row r="643" spans="2:8">
      <c r="B643" s="291" t="s">
        <v>42</v>
      </c>
      <c r="C643" s="292">
        <f>E346</f>
        <v>470000</v>
      </c>
      <c r="E643" s="292"/>
      <c r="G643" s="291"/>
      <c r="H643" s="291"/>
    </row>
    <row r="644" spans="2:8">
      <c r="B644" s="291" t="s">
        <v>46</v>
      </c>
      <c r="C644" s="292">
        <f>E602</f>
        <v>2713559.99</v>
      </c>
      <c r="E644" s="292"/>
      <c r="G644" s="291"/>
      <c r="H644" s="291"/>
    </row>
    <row r="645" spans="2:8">
      <c r="B645" s="291" t="s">
        <v>55</v>
      </c>
      <c r="C645" s="292">
        <f>E560+E205</f>
        <v>250000</v>
      </c>
      <c r="E645" s="292"/>
      <c r="G645" s="291"/>
      <c r="H645" s="291"/>
    </row>
    <row r="646" spans="2:8">
      <c r="B646" s="291" t="s">
        <v>65</v>
      </c>
      <c r="C646" s="292">
        <f>E71</f>
        <v>23139455</v>
      </c>
      <c r="E646" s="292"/>
      <c r="G646" s="291"/>
      <c r="H646" s="291"/>
    </row>
    <row r="647" spans="2:8">
      <c r="B647" s="291" t="s">
        <v>70</v>
      </c>
      <c r="C647" s="292">
        <f>E249+E287+E336</f>
        <v>63741662.949999996</v>
      </c>
      <c r="E647" s="292"/>
      <c r="G647" s="291"/>
      <c r="H647" s="291"/>
    </row>
    <row r="648" spans="2:8">
      <c r="B648" s="291" t="s">
        <v>80</v>
      </c>
      <c r="C648" s="292">
        <f>E96</f>
        <v>50000</v>
      </c>
      <c r="E648" s="292"/>
      <c r="G648" s="291"/>
      <c r="H648" s="291"/>
    </row>
    <row r="649" spans="2:8">
      <c r="B649" s="291" t="s">
        <v>830</v>
      </c>
      <c r="C649" s="292">
        <f>E221</f>
        <v>100000</v>
      </c>
      <c r="E649" s="292"/>
      <c r="G649" s="291"/>
      <c r="H649" s="291"/>
    </row>
    <row r="650" spans="2:8">
      <c r="B650" s="291" t="s">
        <v>86</v>
      </c>
      <c r="C650" s="292">
        <f>E565</f>
        <v>742359.04000000004</v>
      </c>
      <c r="E650" s="292"/>
      <c r="G650" s="291"/>
      <c r="H650" s="291"/>
    </row>
    <row r="651" spans="2:8">
      <c r="B651" s="291" t="s">
        <v>101</v>
      </c>
      <c r="C651" s="292">
        <f>E632+E101</f>
        <v>4560714</v>
      </c>
      <c r="E651" s="292"/>
      <c r="G651" s="291"/>
      <c r="H651" s="291"/>
    </row>
    <row r="652" spans="2:8">
      <c r="B652" s="293">
        <v>1200</v>
      </c>
      <c r="C652" s="292">
        <f>E209</f>
        <v>36551150</v>
      </c>
      <c r="E652" s="292"/>
      <c r="G652" s="291"/>
      <c r="H652" s="291"/>
    </row>
    <row r="653" spans="2:8">
      <c r="B653" s="293">
        <v>1300</v>
      </c>
      <c r="C653" s="292">
        <f>E355</f>
        <v>45000</v>
      </c>
      <c r="E653" s="292"/>
      <c r="G653" s="291"/>
      <c r="H653" s="291"/>
    </row>
    <row r="654" spans="2:8">
      <c r="B654" s="293">
        <v>1400</v>
      </c>
      <c r="C654" s="292">
        <f>E228+E232</f>
        <v>343600</v>
      </c>
      <c r="E654" s="292"/>
      <c r="G654" s="291"/>
      <c r="H654" s="291"/>
    </row>
    <row r="655" spans="2:8">
      <c r="B655" s="293">
        <v>1500</v>
      </c>
      <c r="C655" s="292">
        <f>E109+E238</f>
        <v>4100000</v>
      </c>
      <c r="E655" s="292"/>
      <c r="G655" s="291"/>
      <c r="H655" s="291"/>
    </row>
    <row r="656" spans="2:8">
      <c r="B656" s="293">
        <v>1700</v>
      </c>
      <c r="C656" s="292">
        <f>E625</f>
        <v>50000</v>
      </c>
      <c r="E656" s="292"/>
      <c r="G656" s="291"/>
      <c r="H656" s="291"/>
    </row>
    <row r="657" spans="2:8">
      <c r="B657" s="293">
        <v>1800</v>
      </c>
      <c r="C657" s="292">
        <f>E298</f>
        <v>10857606.060000001</v>
      </c>
      <c r="E657" s="292"/>
      <c r="G657" s="291"/>
      <c r="H657" s="291"/>
    </row>
    <row r="658" spans="2:8">
      <c r="B658" s="293">
        <v>1900</v>
      </c>
      <c r="C658" s="292">
        <f>E312</f>
        <v>22706309.420000002</v>
      </c>
      <c r="E658" s="292"/>
    </row>
    <row r="659" spans="2:8">
      <c r="B659" s="293">
        <v>9900</v>
      </c>
      <c r="C659" s="292">
        <f>E637-C660</f>
        <v>146719343.6700002</v>
      </c>
      <c r="E659" s="292"/>
    </row>
    <row r="660" spans="2:8">
      <c r="C660" s="292">
        <f>SUBTOTAL(9,C641:C658)</f>
        <v>813616142.74999988</v>
      </c>
      <c r="E660" s="292"/>
    </row>
    <row r="661" spans="2:8">
      <c r="C661" s="291"/>
      <c r="E661" s="292"/>
    </row>
    <row r="662" spans="2:8">
      <c r="C662" s="291"/>
      <c r="E662" s="292"/>
    </row>
    <row r="663" spans="2:8">
      <c r="C663" s="291"/>
      <c r="E663" s="292"/>
    </row>
    <row r="664" spans="2:8">
      <c r="C664" s="291"/>
      <c r="E664" s="292"/>
    </row>
    <row r="665" spans="2:8">
      <c r="C665" s="291"/>
      <c r="E665" s="292"/>
    </row>
    <row r="666" spans="2:8">
      <c r="C666" s="291"/>
      <c r="E666" s="292"/>
    </row>
    <row r="667" spans="2:8">
      <c r="C667" s="291"/>
      <c r="E667" s="292"/>
    </row>
    <row r="668" spans="2:8">
      <c r="C668" s="291"/>
      <c r="E668" s="292"/>
    </row>
    <row r="669" spans="2:8">
      <c r="C669" s="291"/>
      <c r="E669" s="292"/>
    </row>
    <row r="670" spans="2:8">
      <c r="C670" s="291"/>
      <c r="E670" s="292"/>
    </row>
    <row r="671" spans="2:8">
      <c r="C671" s="291"/>
      <c r="E671" s="292"/>
    </row>
    <row r="672" spans="2:8">
      <c r="C672" s="291"/>
      <c r="E672" s="292"/>
    </row>
    <row r="673" spans="3:5">
      <c r="C673" s="291"/>
      <c r="E673" s="292"/>
    </row>
    <row r="674" spans="3:5">
      <c r="C674" s="291"/>
      <c r="E674" s="292"/>
    </row>
    <row r="675" spans="3:5">
      <c r="C675" s="291"/>
      <c r="E675" s="292"/>
    </row>
    <row r="676" spans="3:5">
      <c r="C676" s="291"/>
      <c r="E676" s="292"/>
    </row>
    <row r="677" spans="3:5">
      <c r="C677" s="291"/>
      <c r="E677" s="292"/>
    </row>
    <row r="678" spans="3:5">
      <c r="C678" s="291"/>
      <c r="E678" s="292"/>
    </row>
    <row r="679" spans="3:5">
      <c r="C679" s="291"/>
      <c r="E679" s="292"/>
    </row>
    <row r="680" spans="3:5">
      <c r="C680" s="291"/>
      <c r="E680" s="292"/>
    </row>
    <row r="681" spans="3:5">
      <c r="C681" s="291"/>
      <c r="E681" s="292"/>
    </row>
    <row r="682" spans="3:5">
      <c r="C682" s="291"/>
      <c r="E682" s="292"/>
    </row>
    <row r="683" spans="3:5">
      <c r="C683" s="291"/>
      <c r="E683" s="292"/>
    </row>
    <row r="684" spans="3:5">
      <c r="C684" s="291"/>
      <c r="E684" s="292"/>
    </row>
    <row r="685" spans="3:5">
      <c r="C685" s="291"/>
      <c r="E685" s="292"/>
    </row>
    <row r="686" spans="3:5">
      <c r="C686" s="291"/>
      <c r="E686" s="292"/>
    </row>
    <row r="687" spans="3:5">
      <c r="C687" s="291"/>
      <c r="E687" s="292"/>
    </row>
    <row r="688" spans="3:5">
      <c r="C688" s="291"/>
      <c r="E688" s="292"/>
    </row>
    <row r="689" spans="3:5">
      <c r="C689" s="291"/>
      <c r="E689" s="292"/>
    </row>
    <row r="690" spans="3:5">
      <c r="C690" s="291"/>
      <c r="E690" s="292"/>
    </row>
    <row r="691" spans="3:5">
      <c r="C691" s="291"/>
      <c r="E691" s="292"/>
    </row>
    <row r="692" spans="3:5">
      <c r="C692" s="291"/>
      <c r="E692" s="292"/>
    </row>
    <row r="693" spans="3:5">
      <c r="C693" s="291"/>
      <c r="E693" s="292"/>
    </row>
    <row r="694" spans="3:5">
      <c r="C694" s="291"/>
      <c r="E694" s="292"/>
    </row>
    <row r="695" spans="3:5">
      <c r="C695" s="291"/>
      <c r="E695" s="292"/>
    </row>
    <row r="696" spans="3:5">
      <c r="C696" s="291"/>
      <c r="E696" s="292"/>
    </row>
    <row r="697" spans="3:5">
      <c r="C697" s="291"/>
      <c r="E697" s="292"/>
    </row>
    <row r="698" spans="3:5">
      <c r="C698" s="291"/>
      <c r="E698" s="292"/>
    </row>
    <row r="699" spans="3:5">
      <c r="C699" s="291"/>
      <c r="E699" s="292"/>
    </row>
    <row r="700" spans="3:5">
      <c r="C700" s="291"/>
      <c r="E700" s="292"/>
    </row>
    <row r="701" spans="3:5">
      <c r="C701" s="291"/>
      <c r="E701" s="292"/>
    </row>
    <row r="702" spans="3:5">
      <c r="C702" s="291"/>
      <c r="E702" s="292"/>
    </row>
    <row r="703" spans="3:5">
      <c r="C703" s="291"/>
      <c r="E703" s="292"/>
    </row>
    <row r="704" spans="3:5">
      <c r="C704" s="291"/>
      <c r="E704" s="292"/>
    </row>
    <row r="705" spans="3:7">
      <c r="C705" s="291"/>
      <c r="E705" s="292"/>
    </row>
    <row r="706" spans="3:7">
      <c r="C706" s="291"/>
      <c r="E706" s="292"/>
    </row>
    <row r="707" spans="3:7">
      <c r="C707" s="291"/>
      <c r="E707" s="292"/>
    </row>
    <row r="708" spans="3:7">
      <c r="C708" s="291"/>
      <c r="E708" s="292"/>
      <c r="G708" s="258"/>
    </row>
    <row r="709" spans="3:7">
      <c r="C709" s="291"/>
      <c r="E709" s="292"/>
    </row>
    <row r="710" spans="3:7">
      <c r="C710" s="291"/>
      <c r="E710" s="292"/>
    </row>
    <row r="711" spans="3:7">
      <c r="C711" s="291"/>
      <c r="E711" s="292"/>
    </row>
    <row r="712" spans="3:7">
      <c r="C712" s="291"/>
    </row>
    <row r="713" spans="3:7">
      <c r="C713" s="291"/>
    </row>
    <row r="714" spans="3:7">
      <c r="C714" s="291"/>
    </row>
    <row r="715" spans="3:7">
      <c r="C715" s="291"/>
    </row>
    <row r="716" spans="3:7">
      <c r="C716" s="291"/>
    </row>
    <row r="717" spans="3:7">
      <c r="C717" s="291"/>
    </row>
  </sheetData>
  <mergeCells count="10">
    <mergeCell ref="A10:E10"/>
    <mergeCell ref="A637:D637"/>
    <mergeCell ref="A11:E11"/>
    <mergeCell ref="A12:E12"/>
    <mergeCell ref="A13:E13"/>
    <mergeCell ref="C1:E1"/>
    <mergeCell ref="B3:E3"/>
    <mergeCell ref="C4:E4"/>
    <mergeCell ref="A2:E2"/>
    <mergeCell ref="A9:E9"/>
  </mergeCells>
  <pageMargins left="1.1811023622047245" right="0.39370078740157483" top="0.39370078740157483" bottom="0.39370078740157483" header="0.31496062992125984" footer="0.31496062992125984"/>
  <pageSetup paperSize="9" scale="65" fitToHeight="0" orientation="portrait" r:id="rId1"/>
  <rowBreaks count="1" manualBreakCount="1">
    <brk id="4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31"/>
  <sheetViews>
    <sheetView view="pageBreakPreview" zoomScale="75" zoomScaleNormal="100" zoomScaleSheetLayoutView="75" workbookViewId="0">
      <selection activeCell="E1" sqref="E1:F1"/>
    </sheetView>
  </sheetViews>
  <sheetFormatPr defaultRowHeight="18" outlineLevelRow="6"/>
  <cols>
    <col min="1" max="1" width="85.33203125" style="130" customWidth="1"/>
    <col min="2" max="2" width="6.88671875" style="53" customWidth="1"/>
    <col min="3" max="3" width="14.44140625" style="53" customWidth="1"/>
    <col min="4" max="4" width="6.44140625" style="53" customWidth="1"/>
    <col min="5" max="5" width="18.109375" style="53" customWidth="1"/>
    <col min="6" max="6" width="18.109375" style="40" customWidth="1"/>
    <col min="7" max="7" width="21" style="1" customWidth="1"/>
    <col min="8" max="8" width="19.44140625" style="1" customWidth="1"/>
    <col min="9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8">
      <c r="E1" s="350" t="s">
        <v>956</v>
      </c>
      <c r="F1" s="350"/>
    </row>
    <row r="2" spans="1:8">
      <c r="D2" s="350" t="s">
        <v>933</v>
      </c>
      <c r="E2" s="350"/>
      <c r="F2" s="350"/>
    </row>
    <row r="3" spans="1:8">
      <c r="E3" s="350" t="s">
        <v>940</v>
      </c>
      <c r="F3" s="350"/>
    </row>
    <row r="4" spans="1:8">
      <c r="E4" s="350" t="s">
        <v>945</v>
      </c>
      <c r="F4" s="350"/>
    </row>
    <row r="5" spans="1:8">
      <c r="F5" s="73" t="s">
        <v>450</v>
      </c>
    </row>
    <row r="6" spans="1:8">
      <c r="F6" s="73" t="s">
        <v>930</v>
      </c>
    </row>
    <row r="7" spans="1:8">
      <c r="F7" s="73" t="s">
        <v>664</v>
      </c>
    </row>
    <row r="8" spans="1:8">
      <c r="F8" s="73" t="s">
        <v>937</v>
      </c>
    </row>
    <row r="9" spans="1:8">
      <c r="A9" s="374" t="s">
        <v>196</v>
      </c>
      <c r="B9" s="374"/>
      <c r="C9" s="374"/>
      <c r="D9" s="374"/>
      <c r="E9" s="374"/>
      <c r="F9" s="374"/>
    </row>
    <row r="10" spans="1:8">
      <c r="A10" s="360" t="s">
        <v>826</v>
      </c>
      <c r="B10" s="360"/>
      <c r="C10" s="360"/>
      <c r="D10" s="360"/>
      <c r="E10" s="360"/>
      <c r="F10" s="360"/>
    </row>
    <row r="11" spans="1:8" ht="19.5" customHeight="1">
      <c r="A11" s="360" t="s">
        <v>451</v>
      </c>
      <c r="B11" s="360"/>
      <c r="C11" s="360"/>
      <c r="D11" s="360"/>
      <c r="E11" s="360"/>
      <c r="F11" s="360"/>
    </row>
    <row r="12" spans="1:8" ht="19.5" customHeight="1">
      <c r="A12" s="360" t="s">
        <v>452</v>
      </c>
      <c r="B12" s="360"/>
      <c r="C12" s="360"/>
      <c r="D12" s="360"/>
      <c r="E12" s="360"/>
      <c r="F12" s="360"/>
    </row>
    <row r="13" spans="1:8">
      <c r="A13" s="360" t="s">
        <v>453</v>
      </c>
      <c r="B13" s="360"/>
      <c r="C13" s="360"/>
      <c r="D13" s="360"/>
      <c r="E13" s="360"/>
      <c r="F13" s="360"/>
    </row>
    <row r="14" spans="1:8">
      <c r="A14" s="39"/>
      <c r="B14" s="54"/>
      <c r="C14" s="54"/>
      <c r="D14" s="54"/>
      <c r="F14" s="65" t="s">
        <v>408</v>
      </c>
    </row>
    <row r="15" spans="1:8" ht="36">
      <c r="A15" s="42" t="s">
        <v>0</v>
      </c>
      <c r="B15" s="42" t="s">
        <v>2</v>
      </c>
      <c r="C15" s="42" t="s">
        <v>3</v>
      </c>
      <c r="D15" s="42" t="s">
        <v>4</v>
      </c>
      <c r="E15" s="42" t="s">
        <v>474</v>
      </c>
      <c r="F15" s="42" t="s">
        <v>827</v>
      </c>
      <c r="G15" s="94"/>
    </row>
    <row r="16" spans="1:8" s="3" customFormat="1">
      <c r="A16" s="75" t="s">
        <v>7</v>
      </c>
      <c r="B16" s="61" t="s">
        <v>8</v>
      </c>
      <c r="C16" s="61" t="s">
        <v>126</v>
      </c>
      <c r="D16" s="61" t="s">
        <v>6</v>
      </c>
      <c r="E16" s="81">
        <f>E17+E22+E44+E37+E50+E65</f>
        <v>114084134.84</v>
      </c>
      <c r="F16" s="81">
        <f>F17+F22+F44+F37+F50+F65</f>
        <v>117284177.12</v>
      </c>
      <c r="G16" s="9">
        <f>потребность!G688</f>
        <v>99324525.599999994</v>
      </c>
      <c r="H16" s="9">
        <f>'[1]прил 12'!G478</f>
        <v>72206241.75999999</v>
      </c>
    </row>
    <row r="17" spans="1:7" ht="38.25" customHeight="1" outlineLevel="1">
      <c r="A17" s="45" t="s">
        <v>28</v>
      </c>
      <c r="B17" s="46" t="s">
        <v>29</v>
      </c>
      <c r="C17" s="46" t="s">
        <v>126</v>
      </c>
      <c r="D17" s="46" t="s">
        <v>6</v>
      </c>
      <c r="E17" s="80">
        <f t="shared" ref="E17:F20" si="0">E18</f>
        <v>2846266</v>
      </c>
      <c r="F17" s="80">
        <f t="shared" si="0"/>
        <v>2846266</v>
      </c>
      <c r="G17" s="94"/>
    </row>
    <row r="18" spans="1:7" outlineLevel="2">
      <c r="A18" s="45" t="s">
        <v>198</v>
      </c>
      <c r="B18" s="46" t="s">
        <v>29</v>
      </c>
      <c r="C18" s="46" t="s">
        <v>127</v>
      </c>
      <c r="D18" s="46" t="s">
        <v>6</v>
      </c>
      <c r="E18" s="80">
        <f t="shared" si="0"/>
        <v>2846266</v>
      </c>
      <c r="F18" s="80">
        <f t="shared" si="0"/>
        <v>2846266</v>
      </c>
      <c r="G18" s="94"/>
    </row>
    <row r="19" spans="1:7" outlineLevel="4">
      <c r="A19" s="45" t="s">
        <v>500</v>
      </c>
      <c r="B19" s="46" t="s">
        <v>29</v>
      </c>
      <c r="C19" s="46" t="s">
        <v>501</v>
      </c>
      <c r="D19" s="46" t="s">
        <v>6</v>
      </c>
      <c r="E19" s="80">
        <f t="shared" si="0"/>
        <v>2846266</v>
      </c>
      <c r="F19" s="80">
        <f t="shared" si="0"/>
        <v>2846266</v>
      </c>
      <c r="G19" s="94"/>
    </row>
    <row r="20" spans="1:7" ht="55.5" customHeight="1" outlineLevel="5">
      <c r="A20" s="45" t="s">
        <v>11</v>
      </c>
      <c r="B20" s="46" t="s">
        <v>29</v>
      </c>
      <c r="C20" s="46" t="s">
        <v>501</v>
      </c>
      <c r="D20" s="46" t="s">
        <v>12</v>
      </c>
      <c r="E20" s="80">
        <f t="shared" si="0"/>
        <v>2846266</v>
      </c>
      <c r="F20" s="80">
        <f t="shared" si="0"/>
        <v>2846266</v>
      </c>
      <c r="G20" s="94"/>
    </row>
    <row r="21" spans="1:7" ht="19.5" customHeight="1" outlineLevel="6">
      <c r="A21" s="45" t="s">
        <v>13</v>
      </c>
      <c r="B21" s="46" t="s">
        <v>29</v>
      </c>
      <c r="C21" s="46" t="s">
        <v>501</v>
      </c>
      <c r="D21" s="46" t="s">
        <v>14</v>
      </c>
      <c r="E21" s="80">
        <f>'прил 12'!F42</f>
        <v>2846266</v>
      </c>
      <c r="F21" s="80">
        <f>'прил 12'!G42</f>
        <v>2846266</v>
      </c>
      <c r="G21" s="94"/>
    </row>
    <row r="22" spans="1:7" ht="54.75" customHeight="1" outlineLevel="1">
      <c r="A22" s="45" t="s">
        <v>108</v>
      </c>
      <c r="B22" s="46" t="s">
        <v>109</v>
      </c>
      <c r="C22" s="46" t="s">
        <v>126</v>
      </c>
      <c r="D22" s="46" t="s">
        <v>6</v>
      </c>
      <c r="E22" s="80">
        <f>E23</f>
        <v>5668201.6399999997</v>
      </c>
      <c r="F22" s="80">
        <f>F23</f>
        <v>5877669.9699999997</v>
      </c>
      <c r="G22" s="94"/>
    </row>
    <row r="23" spans="1:7" outlineLevel="3">
      <c r="A23" s="45" t="s">
        <v>198</v>
      </c>
      <c r="B23" s="46" t="s">
        <v>109</v>
      </c>
      <c r="C23" s="46" t="s">
        <v>127</v>
      </c>
      <c r="D23" s="46" t="s">
        <v>6</v>
      </c>
      <c r="E23" s="80">
        <f>E24+E27+E34</f>
        <v>5668201.6399999997</v>
      </c>
      <c r="F23" s="80">
        <f>F24+F27+F34</f>
        <v>5877669.9699999997</v>
      </c>
      <c r="G23" s="94"/>
    </row>
    <row r="24" spans="1:7" ht="18.75" customHeight="1" outlineLevel="4">
      <c r="A24" s="45" t="s">
        <v>532</v>
      </c>
      <c r="B24" s="46" t="s">
        <v>109</v>
      </c>
      <c r="C24" s="46" t="s">
        <v>533</v>
      </c>
      <c r="D24" s="46" t="s">
        <v>6</v>
      </c>
      <c r="E24" s="80">
        <f>E25</f>
        <v>2618572.2799999998</v>
      </c>
      <c r="F24" s="80">
        <f>F25</f>
        <v>2723315.17</v>
      </c>
      <c r="G24" s="94"/>
    </row>
    <row r="25" spans="1:7" ht="56.25" customHeight="1" outlineLevel="5">
      <c r="A25" s="45" t="s">
        <v>11</v>
      </c>
      <c r="B25" s="46" t="s">
        <v>109</v>
      </c>
      <c r="C25" s="46" t="s">
        <v>533</v>
      </c>
      <c r="D25" s="46" t="s">
        <v>12</v>
      </c>
      <c r="E25" s="80">
        <f>E26</f>
        <v>2618572.2799999998</v>
      </c>
      <c r="F25" s="80">
        <f>F26</f>
        <v>2723315.17</v>
      </c>
      <c r="G25" s="94"/>
    </row>
    <row r="26" spans="1:7" ht="19.5" customHeight="1" outlineLevel="6">
      <c r="A26" s="45" t="s">
        <v>13</v>
      </c>
      <c r="B26" s="46" t="s">
        <v>109</v>
      </c>
      <c r="C26" s="46" t="s">
        <v>533</v>
      </c>
      <c r="D26" s="46" t="s">
        <v>14</v>
      </c>
      <c r="E26" s="80">
        <f>'прил 12'!F467</f>
        <v>2618572.2799999998</v>
      </c>
      <c r="F26" s="80">
        <f>'прил 12'!G467</f>
        <v>2723315.17</v>
      </c>
      <c r="G26" s="94"/>
    </row>
    <row r="27" spans="1:7" ht="39.75" customHeight="1" outlineLevel="4">
      <c r="A27" s="45" t="s">
        <v>498</v>
      </c>
      <c r="B27" s="46" t="s">
        <v>109</v>
      </c>
      <c r="C27" s="46" t="s">
        <v>499</v>
      </c>
      <c r="D27" s="46" t="s">
        <v>6</v>
      </c>
      <c r="E27" s="80">
        <f>E28+E30+E32</f>
        <v>2869629.36</v>
      </c>
      <c r="F27" s="80">
        <f>F28+F30+F32</f>
        <v>2974354.8</v>
      </c>
      <c r="G27" s="94"/>
    </row>
    <row r="28" spans="1:7" ht="54.75" customHeight="1" outlineLevel="5">
      <c r="A28" s="45" t="s">
        <v>11</v>
      </c>
      <c r="B28" s="46" t="s">
        <v>109</v>
      </c>
      <c r="C28" s="46" t="s">
        <v>499</v>
      </c>
      <c r="D28" s="46" t="s">
        <v>12</v>
      </c>
      <c r="E28" s="80">
        <f>E29</f>
        <v>2618129.36</v>
      </c>
      <c r="F28" s="80">
        <f>F29</f>
        <v>2722854.8</v>
      </c>
      <c r="G28" s="94"/>
    </row>
    <row r="29" spans="1:7" ht="17.399999999999999" customHeight="1" outlineLevel="6">
      <c r="A29" s="45" t="s">
        <v>13</v>
      </c>
      <c r="B29" s="46" t="s">
        <v>109</v>
      </c>
      <c r="C29" s="46" t="s">
        <v>499</v>
      </c>
      <c r="D29" s="46" t="s">
        <v>14</v>
      </c>
      <c r="E29" s="80">
        <f>'прил 12'!F470</f>
        <v>2618129.36</v>
      </c>
      <c r="F29" s="80">
        <f>'прил 12'!G470</f>
        <v>2722854.8</v>
      </c>
      <c r="G29" s="94"/>
    </row>
    <row r="30" spans="1:7" ht="17.399999999999999" customHeight="1" outlineLevel="5">
      <c r="A30" s="45" t="s">
        <v>15</v>
      </c>
      <c r="B30" s="46" t="s">
        <v>109</v>
      </c>
      <c r="C30" s="46" t="s">
        <v>499</v>
      </c>
      <c r="D30" s="46" t="s">
        <v>16</v>
      </c>
      <c r="E30" s="80">
        <f>E31</f>
        <v>246000</v>
      </c>
      <c r="F30" s="80">
        <f>F31</f>
        <v>246000</v>
      </c>
      <c r="G30" s="94"/>
    </row>
    <row r="31" spans="1:7" ht="36" outlineLevel="6">
      <c r="A31" s="45" t="s">
        <v>17</v>
      </c>
      <c r="B31" s="46" t="s">
        <v>109</v>
      </c>
      <c r="C31" s="46" t="s">
        <v>499</v>
      </c>
      <c r="D31" s="46" t="s">
        <v>18</v>
      </c>
      <c r="E31" s="80">
        <f>'прил 12'!F472</f>
        <v>246000</v>
      </c>
      <c r="F31" s="80">
        <f>'прил 12'!G472</f>
        <v>246000</v>
      </c>
      <c r="G31" s="94"/>
    </row>
    <row r="32" spans="1:7" outlineLevel="5">
      <c r="A32" s="45" t="s">
        <v>19</v>
      </c>
      <c r="B32" s="46" t="s">
        <v>109</v>
      </c>
      <c r="C32" s="46" t="s">
        <v>499</v>
      </c>
      <c r="D32" s="46" t="s">
        <v>20</v>
      </c>
      <c r="E32" s="80">
        <f>E33</f>
        <v>5500</v>
      </c>
      <c r="F32" s="80">
        <f>F33</f>
        <v>5500</v>
      </c>
      <c r="G32" s="94"/>
    </row>
    <row r="33" spans="1:7" outlineLevel="6">
      <c r="A33" s="45" t="s">
        <v>21</v>
      </c>
      <c r="B33" s="46" t="s">
        <v>109</v>
      </c>
      <c r="C33" s="46" t="s">
        <v>499</v>
      </c>
      <c r="D33" s="46" t="s">
        <v>22</v>
      </c>
      <c r="E33" s="80">
        <f>'прил 12'!F474</f>
        <v>5500</v>
      </c>
      <c r="F33" s="80">
        <f>'прил 12'!G474</f>
        <v>5500</v>
      </c>
      <c r="G33" s="94"/>
    </row>
    <row r="34" spans="1:7" outlineLevel="4">
      <c r="A34" s="45" t="s">
        <v>535</v>
      </c>
      <c r="B34" s="46" t="s">
        <v>109</v>
      </c>
      <c r="C34" s="46" t="s">
        <v>534</v>
      </c>
      <c r="D34" s="46" t="s">
        <v>6</v>
      </c>
      <c r="E34" s="80">
        <f>E35</f>
        <v>180000</v>
      </c>
      <c r="F34" s="80">
        <f>F35</f>
        <v>180000</v>
      </c>
      <c r="G34" s="94"/>
    </row>
    <row r="35" spans="1:7" ht="54.75" customHeight="1" outlineLevel="5">
      <c r="A35" s="45" t="s">
        <v>11</v>
      </c>
      <c r="B35" s="46" t="s">
        <v>109</v>
      </c>
      <c r="C35" s="46" t="s">
        <v>534</v>
      </c>
      <c r="D35" s="46" t="s">
        <v>12</v>
      </c>
      <c r="E35" s="80">
        <f>E36</f>
        <v>180000</v>
      </c>
      <c r="F35" s="80">
        <f>F36</f>
        <v>180000</v>
      </c>
      <c r="G35" s="94"/>
    </row>
    <row r="36" spans="1:7" ht="17.399999999999999" customHeight="1" outlineLevel="6">
      <c r="A36" s="45" t="s">
        <v>13</v>
      </c>
      <c r="B36" s="46" t="s">
        <v>109</v>
      </c>
      <c r="C36" s="46" t="s">
        <v>534</v>
      </c>
      <c r="D36" s="46" t="s">
        <v>14</v>
      </c>
      <c r="E36" s="80">
        <f>'прил 12'!F477</f>
        <v>180000</v>
      </c>
      <c r="F36" s="80">
        <f>'прил 12'!G477</f>
        <v>180000</v>
      </c>
      <c r="G36" s="94"/>
    </row>
    <row r="37" spans="1:7" ht="58.65" customHeight="1" outlineLevel="1">
      <c r="A37" s="45" t="s">
        <v>30</v>
      </c>
      <c r="B37" s="46" t="s">
        <v>31</v>
      </c>
      <c r="C37" s="46" t="s">
        <v>126</v>
      </c>
      <c r="D37" s="46" t="s">
        <v>6</v>
      </c>
      <c r="E37" s="80">
        <f>E38</f>
        <v>22524109.440000001</v>
      </c>
      <c r="F37" s="80">
        <f>F38</f>
        <v>23421393.82</v>
      </c>
      <c r="G37" s="94"/>
    </row>
    <row r="38" spans="1:7" outlineLevel="3">
      <c r="A38" s="45" t="s">
        <v>198</v>
      </c>
      <c r="B38" s="46" t="s">
        <v>31</v>
      </c>
      <c r="C38" s="46" t="s">
        <v>127</v>
      </c>
      <c r="D38" s="46" t="s">
        <v>6</v>
      </c>
      <c r="E38" s="80">
        <f>E39</f>
        <v>22524109.440000001</v>
      </c>
      <c r="F38" s="80">
        <f>F39</f>
        <v>23421393.82</v>
      </c>
      <c r="G38" s="94"/>
    </row>
    <row r="39" spans="1:7" ht="38.25" customHeight="1" outlineLevel="4">
      <c r="A39" s="45" t="s">
        <v>498</v>
      </c>
      <c r="B39" s="46" t="s">
        <v>31</v>
      </c>
      <c r="C39" s="46" t="s">
        <v>499</v>
      </c>
      <c r="D39" s="46" t="s">
        <v>6</v>
      </c>
      <c r="E39" s="80">
        <f>E40+E42</f>
        <v>22524109.440000001</v>
      </c>
      <c r="F39" s="80">
        <f>F40+F42</f>
        <v>23421393.82</v>
      </c>
      <c r="G39" s="94"/>
    </row>
    <row r="40" spans="1:7" ht="54.75" customHeight="1" outlineLevel="5">
      <c r="A40" s="45" t="s">
        <v>11</v>
      </c>
      <c r="B40" s="46" t="s">
        <v>31</v>
      </c>
      <c r="C40" s="46" t="s">
        <v>499</v>
      </c>
      <c r="D40" s="46" t="s">
        <v>12</v>
      </c>
      <c r="E40" s="80">
        <f>E41</f>
        <v>22432109.440000001</v>
      </c>
      <c r="F40" s="80">
        <f>F41</f>
        <v>23329393.82</v>
      </c>
      <c r="G40" s="94"/>
    </row>
    <row r="41" spans="1:7" ht="17.399999999999999" customHeight="1" outlineLevel="6">
      <c r="A41" s="45" t="s">
        <v>13</v>
      </c>
      <c r="B41" s="46" t="s">
        <v>31</v>
      </c>
      <c r="C41" s="46" t="s">
        <v>499</v>
      </c>
      <c r="D41" s="46" t="s">
        <v>14</v>
      </c>
      <c r="E41" s="80">
        <f>'прил 12'!F47</f>
        <v>22432109.440000001</v>
      </c>
      <c r="F41" s="80">
        <f>'прил 12'!G47</f>
        <v>23329393.82</v>
      </c>
      <c r="G41" s="94"/>
    </row>
    <row r="42" spans="1:7" ht="17.399999999999999" customHeight="1" outlineLevel="5">
      <c r="A42" s="45" t="s">
        <v>15</v>
      </c>
      <c r="B42" s="46" t="s">
        <v>31</v>
      </c>
      <c r="C42" s="46" t="s">
        <v>499</v>
      </c>
      <c r="D42" s="46" t="s">
        <v>16</v>
      </c>
      <c r="E42" s="80">
        <f>E43</f>
        <v>92000</v>
      </c>
      <c r="F42" s="80">
        <f>F43</f>
        <v>92000</v>
      </c>
      <c r="G42" s="94"/>
    </row>
    <row r="43" spans="1:7" ht="36" outlineLevel="6">
      <c r="A43" s="45" t="s">
        <v>17</v>
      </c>
      <c r="B43" s="46" t="s">
        <v>31</v>
      </c>
      <c r="C43" s="46" t="s">
        <v>499</v>
      </c>
      <c r="D43" s="46" t="s">
        <v>18</v>
      </c>
      <c r="E43" s="80">
        <f>'прил 12'!F49</f>
        <v>92000</v>
      </c>
      <c r="F43" s="80">
        <f>'прил 12'!G49</f>
        <v>92000</v>
      </c>
      <c r="G43" s="94"/>
    </row>
    <row r="44" spans="1:7" outlineLevel="6">
      <c r="A44" s="45" t="s">
        <v>260</v>
      </c>
      <c r="B44" s="46" t="s">
        <v>261</v>
      </c>
      <c r="C44" s="46" t="s">
        <v>126</v>
      </c>
      <c r="D44" s="46" t="s">
        <v>6</v>
      </c>
      <c r="E44" s="80">
        <f t="shared" ref="E44:F48" si="1">E45</f>
        <v>13010</v>
      </c>
      <c r="F44" s="80">
        <f t="shared" si="1"/>
        <v>11564</v>
      </c>
      <c r="G44" s="94"/>
    </row>
    <row r="45" spans="1:7" ht="18" customHeight="1" outlineLevel="6">
      <c r="A45" s="45" t="s">
        <v>132</v>
      </c>
      <c r="B45" s="46" t="s">
        <v>261</v>
      </c>
      <c r="C45" s="46" t="s">
        <v>127</v>
      </c>
      <c r="D45" s="46" t="s">
        <v>6</v>
      </c>
      <c r="E45" s="80">
        <f t="shared" si="1"/>
        <v>13010</v>
      </c>
      <c r="F45" s="80">
        <f t="shared" si="1"/>
        <v>11564</v>
      </c>
      <c r="G45" s="94"/>
    </row>
    <row r="46" spans="1:7" outlineLevel="6">
      <c r="A46" s="45" t="s">
        <v>277</v>
      </c>
      <c r="B46" s="46" t="s">
        <v>261</v>
      </c>
      <c r="C46" s="46" t="s">
        <v>276</v>
      </c>
      <c r="D46" s="46" t="s">
        <v>6</v>
      </c>
      <c r="E46" s="80">
        <f t="shared" si="1"/>
        <v>13010</v>
      </c>
      <c r="F46" s="80">
        <f t="shared" si="1"/>
        <v>11564</v>
      </c>
      <c r="G46" s="94"/>
    </row>
    <row r="47" spans="1:7" ht="73.5" customHeight="1" outlineLevel="6">
      <c r="A47" s="45" t="s">
        <v>410</v>
      </c>
      <c r="B47" s="46" t="s">
        <v>261</v>
      </c>
      <c r="C47" s="46" t="s">
        <v>285</v>
      </c>
      <c r="D47" s="46" t="s">
        <v>6</v>
      </c>
      <c r="E47" s="80">
        <f t="shared" si="1"/>
        <v>13010</v>
      </c>
      <c r="F47" s="80">
        <f t="shared" si="1"/>
        <v>11564</v>
      </c>
      <c r="G47" s="94"/>
    </row>
    <row r="48" spans="1:7" ht="18" customHeight="1" outlineLevel="6">
      <c r="A48" s="45" t="s">
        <v>15</v>
      </c>
      <c r="B48" s="46" t="s">
        <v>261</v>
      </c>
      <c r="C48" s="46" t="s">
        <v>285</v>
      </c>
      <c r="D48" s="46" t="s">
        <v>16</v>
      </c>
      <c r="E48" s="80">
        <f t="shared" si="1"/>
        <v>13010</v>
      </c>
      <c r="F48" s="80">
        <f t="shared" si="1"/>
        <v>11564</v>
      </c>
      <c r="G48" s="94"/>
    </row>
    <row r="49" spans="1:7" ht="36" outlineLevel="6">
      <c r="A49" s="45" t="s">
        <v>17</v>
      </c>
      <c r="B49" s="46" t="s">
        <v>261</v>
      </c>
      <c r="C49" s="46" t="s">
        <v>285</v>
      </c>
      <c r="D49" s="46" t="s">
        <v>18</v>
      </c>
      <c r="E49" s="80">
        <f>'прил 12'!F55</f>
        <v>13010</v>
      </c>
      <c r="F49" s="80">
        <f>'прил 12'!G55</f>
        <v>11564</v>
      </c>
      <c r="G49" s="94"/>
    </row>
    <row r="50" spans="1:7" ht="39.15" customHeight="1" outlineLevel="1">
      <c r="A50" s="45" t="s">
        <v>9</v>
      </c>
      <c r="B50" s="46" t="s">
        <v>10</v>
      </c>
      <c r="C50" s="46" t="s">
        <v>126</v>
      </c>
      <c r="D50" s="46" t="s">
        <v>6</v>
      </c>
      <c r="E50" s="80">
        <f>E51</f>
        <v>9850196.2300000004</v>
      </c>
      <c r="F50" s="80">
        <f>F51</f>
        <v>10203796.08</v>
      </c>
      <c r="G50" s="94"/>
    </row>
    <row r="51" spans="1:7" outlineLevel="3">
      <c r="A51" s="45" t="s">
        <v>198</v>
      </c>
      <c r="B51" s="46" t="s">
        <v>10</v>
      </c>
      <c r="C51" s="46" t="s">
        <v>127</v>
      </c>
      <c r="D51" s="46" t="s">
        <v>6</v>
      </c>
      <c r="E51" s="80">
        <f>E52+E59+E62</f>
        <v>9850196.2300000004</v>
      </c>
      <c r="F51" s="80">
        <f>F52+F59+F62</f>
        <v>10203796.08</v>
      </c>
      <c r="G51" s="94"/>
    </row>
    <row r="52" spans="1:7" ht="39.15" customHeight="1" outlineLevel="4">
      <c r="A52" s="45" t="s">
        <v>498</v>
      </c>
      <c r="B52" s="46" t="s">
        <v>10</v>
      </c>
      <c r="C52" s="46" t="s">
        <v>499</v>
      </c>
      <c r="D52" s="46" t="s">
        <v>6</v>
      </c>
      <c r="E52" s="80">
        <f>E53+E55+E57</f>
        <v>7805021.2300000004</v>
      </c>
      <c r="F52" s="80">
        <f>F53+F55+F57</f>
        <v>8105614.0800000001</v>
      </c>
      <c r="G52" s="94"/>
    </row>
    <row r="53" spans="1:7" ht="55.5" customHeight="1" outlineLevel="5">
      <c r="A53" s="45" t="s">
        <v>11</v>
      </c>
      <c r="B53" s="46" t="s">
        <v>10</v>
      </c>
      <c r="C53" s="46" t="s">
        <v>499</v>
      </c>
      <c r="D53" s="46" t="s">
        <v>12</v>
      </c>
      <c r="E53" s="80">
        <f>E54</f>
        <v>7474821.2300000004</v>
      </c>
      <c r="F53" s="80">
        <f>F54</f>
        <v>7775414.0800000001</v>
      </c>
      <c r="G53" s="94"/>
    </row>
    <row r="54" spans="1:7" ht="18" customHeight="1" outlineLevel="6">
      <c r="A54" s="45" t="s">
        <v>13</v>
      </c>
      <c r="B54" s="46" t="s">
        <v>10</v>
      </c>
      <c r="C54" s="46" t="s">
        <v>499</v>
      </c>
      <c r="D54" s="46" t="s">
        <v>14</v>
      </c>
      <c r="E54" s="80">
        <f>'прил 12'!F20+'прил 12'!F672</f>
        <v>7474821.2300000004</v>
      </c>
      <c r="F54" s="80">
        <f>'прил 12'!G20+'прил 12'!G672</f>
        <v>7775414.0800000001</v>
      </c>
      <c r="G54" s="94"/>
    </row>
    <row r="55" spans="1:7" ht="18" customHeight="1" outlineLevel="5">
      <c r="A55" s="45" t="s">
        <v>15</v>
      </c>
      <c r="B55" s="46" t="s">
        <v>10</v>
      </c>
      <c r="C55" s="46" t="s">
        <v>499</v>
      </c>
      <c r="D55" s="46" t="s">
        <v>16</v>
      </c>
      <c r="E55" s="80">
        <f>E56</f>
        <v>330200</v>
      </c>
      <c r="F55" s="80">
        <f>F56</f>
        <v>330200</v>
      </c>
      <c r="G55" s="94"/>
    </row>
    <row r="56" spans="1:7" ht="39.75" customHeight="1" outlineLevel="6">
      <c r="A56" s="45" t="s">
        <v>17</v>
      </c>
      <c r="B56" s="46" t="s">
        <v>10</v>
      </c>
      <c r="C56" s="46" t="s">
        <v>499</v>
      </c>
      <c r="D56" s="46" t="s">
        <v>18</v>
      </c>
      <c r="E56" s="80">
        <f>'прил 12'!F674+'прил 12'!F22</f>
        <v>330200</v>
      </c>
      <c r="F56" s="80">
        <f>'прил 12'!G674+'прил 12'!G22</f>
        <v>330200</v>
      </c>
      <c r="G56" s="94"/>
    </row>
    <row r="57" spans="1:7" hidden="1" outlineLevel="5">
      <c r="A57" s="45" t="s">
        <v>19</v>
      </c>
      <c r="B57" s="46" t="s">
        <v>10</v>
      </c>
      <c r="C57" s="46" t="s">
        <v>499</v>
      </c>
      <c r="D57" s="46" t="s">
        <v>20</v>
      </c>
      <c r="E57" s="80">
        <f>E58</f>
        <v>0</v>
      </c>
      <c r="F57" s="80">
        <f>F58</f>
        <v>0</v>
      </c>
      <c r="G57" s="94"/>
    </row>
    <row r="58" spans="1:7" hidden="1" outlineLevel="6">
      <c r="A58" s="45" t="s">
        <v>21</v>
      </c>
      <c r="B58" s="46" t="s">
        <v>10</v>
      </c>
      <c r="C58" s="46" t="s">
        <v>499</v>
      </c>
      <c r="D58" s="46" t="s">
        <v>22</v>
      </c>
      <c r="E58" s="80">
        <f>'прил 12'!F24</f>
        <v>0</v>
      </c>
      <c r="F58" s="80">
        <f>'прил 12'!G24</f>
        <v>0</v>
      </c>
      <c r="G58" s="94"/>
    </row>
    <row r="59" spans="1:7" outlineLevel="4" collapsed="1">
      <c r="A59" s="45" t="s">
        <v>199</v>
      </c>
      <c r="B59" s="46" t="s">
        <v>10</v>
      </c>
      <c r="C59" s="46" t="s">
        <v>143</v>
      </c>
      <c r="D59" s="46" t="s">
        <v>6</v>
      </c>
      <c r="E59" s="80">
        <f>E60</f>
        <v>1220000</v>
      </c>
      <c r="F59" s="80">
        <f>F60</f>
        <v>1240000</v>
      </c>
      <c r="G59" s="94"/>
    </row>
    <row r="60" spans="1:7" ht="56.25" customHeight="1" outlineLevel="5">
      <c r="A60" s="45" t="s">
        <v>11</v>
      </c>
      <c r="B60" s="46" t="s">
        <v>10</v>
      </c>
      <c r="C60" s="46" t="s">
        <v>143</v>
      </c>
      <c r="D60" s="46" t="s">
        <v>12</v>
      </c>
      <c r="E60" s="80">
        <f>E61</f>
        <v>1220000</v>
      </c>
      <c r="F60" s="80">
        <f>F61</f>
        <v>1240000</v>
      </c>
      <c r="G60" s="94"/>
    </row>
    <row r="61" spans="1:7" ht="17.399999999999999" customHeight="1" outlineLevel="6">
      <c r="A61" s="45" t="s">
        <v>13</v>
      </c>
      <c r="B61" s="46" t="s">
        <v>10</v>
      </c>
      <c r="C61" s="46" t="s">
        <v>143</v>
      </c>
      <c r="D61" s="46" t="s">
        <v>14</v>
      </c>
      <c r="E61" s="80">
        <f>'прил 12'!F669</f>
        <v>1220000</v>
      </c>
      <c r="F61" s="80">
        <f>'прил 12'!G669</f>
        <v>1240000</v>
      </c>
      <c r="G61" s="94"/>
    </row>
    <row r="62" spans="1:7" ht="17.399999999999999" customHeight="1" outlineLevel="4">
      <c r="A62" s="45" t="s">
        <v>502</v>
      </c>
      <c r="B62" s="46" t="s">
        <v>10</v>
      </c>
      <c r="C62" s="46" t="s">
        <v>541</v>
      </c>
      <c r="D62" s="46" t="s">
        <v>6</v>
      </c>
      <c r="E62" s="80">
        <f>E63</f>
        <v>825175</v>
      </c>
      <c r="F62" s="80">
        <f>F63</f>
        <v>858182</v>
      </c>
      <c r="G62" s="94"/>
    </row>
    <row r="63" spans="1:7" ht="55.5" customHeight="1" outlineLevel="5">
      <c r="A63" s="45" t="s">
        <v>11</v>
      </c>
      <c r="B63" s="46" t="s">
        <v>10</v>
      </c>
      <c r="C63" s="46" t="s">
        <v>541</v>
      </c>
      <c r="D63" s="46" t="s">
        <v>12</v>
      </c>
      <c r="E63" s="80">
        <f>E64</f>
        <v>825175</v>
      </c>
      <c r="F63" s="80">
        <f>F64</f>
        <v>858182</v>
      </c>
      <c r="G63" s="94"/>
    </row>
    <row r="64" spans="1:7" ht="17.399999999999999" customHeight="1" outlineLevel="6">
      <c r="A64" s="45" t="s">
        <v>13</v>
      </c>
      <c r="B64" s="46" t="s">
        <v>10</v>
      </c>
      <c r="C64" s="46" t="s">
        <v>541</v>
      </c>
      <c r="D64" s="46" t="s">
        <v>14</v>
      </c>
      <c r="E64" s="80">
        <f>'прил 12'!F60</f>
        <v>825175</v>
      </c>
      <c r="F64" s="80">
        <f>'прил 12'!G60</f>
        <v>858182</v>
      </c>
      <c r="G64" s="94"/>
    </row>
    <row r="65" spans="1:7" outlineLevel="6">
      <c r="A65" s="45" t="s">
        <v>23</v>
      </c>
      <c r="B65" s="46" t="s">
        <v>24</v>
      </c>
      <c r="C65" s="46" t="s">
        <v>126</v>
      </c>
      <c r="D65" s="46" t="s">
        <v>6</v>
      </c>
      <c r="E65" s="80">
        <f>E66+E89+E94+E102+E109</f>
        <v>73182351.530000001</v>
      </c>
      <c r="F65" s="80">
        <f>F66+F89+F94+F102+F109</f>
        <v>74923487.25</v>
      </c>
      <c r="G65" s="94"/>
    </row>
    <row r="66" spans="1:7" ht="38.25" customHeight="1" outlineLevel="4">
      <c r="A66" s="75" t="s">
        <v>882</v>
      </c>
      <c r="B66" s="61" t="s">
        <v>24</v>
      </c>
      <c r="C66" s="61" t="s">
        <v>128</v>
      </c>
      <c r="D66" s="61" t="s">
        <v>6</v>
      </c>
      <c r="E66" s="80">
        <f>E67+E74+E82</f>
        <v>25122401.030000001</v>
      </c>
      <c r="F66" s="80">
        <f>F67+F74+F82</f>
        <v>25245823.800000001</v>
      </c>
      <c r="G66" s="94"/>
    </row>
    <row r="67" spans="1:7" ht="39.75" customHeight="1" outlineLevel="5">
      <c r="A67" s="45" t="s">
        <v>214</v>
      </c>
      <c r="B67" s="46" t="s">
        <v>24</v>
      </c>
      <c r="C67" s="46" t="s">
        <v>315</v>
      </c>
      <c r="D67" s="46" t="s">
        <v>6</v>
      </c>
      <c r="E67" s="80">
        <f>E68+E71</f>
        <v>886905</v>
      </c>
      <c r="F67" s="80">
        <f>F68+F71</f>
        <v>886905</v>
      </c>
      <c r="G67" s="94"/>
    </row>
    <row r="68" spans="1:7" outlineLevel="6">
      <c r="A68" s="45" t="s">
        <v>321</v>
      </c>
      <c r="B68" s="46" t="s">
        <v>24</v>
      </c>
      <c r="C68" s="46" t="s">
        <v>316</v>
      </c>
      <c r="D68" s="46" t="s">
        <v>6</v>
      </c>
      <c r="E68" s="80">
        <f>E69</f>
        <v>836905</v>
      </c>
      <c r="F68" s="80">
        <f>F69</f>
        <v>836905</v>
      </c>
      <c r="G68" s="94"/>
    </row>
    <row r="69" spans="1:7" ht="18" customHeight="1" outlineLevel="4">
      <c r="A69" s="45" t="s">
        <v>15</v>
      </c>
      <c r="B69" s="46" t="s">
        <v>24</v>
      </c>
      <c r="C69" s="46" t="s">
        <v>316</v>
      </c>
      <c r="D69" s="46" t="s">
        <v>16</v>
      </c>
      <c r="E69" s="80">
        <f>E70</f>
        <v>836905</v>
      </c>
      <c r="F69" s="80">
        <f>F70</f>
        <v>836905</v>
      </c>
      <c r="G69" s="94"/>
    </row>
    <row r="70" spans="1:7" ht="36" outlineLevel="5">
      <c r="A70" s="45" t="s">
        <v>17</v>
      </c>
      <c r="B70" s="46" t="s">
        <v>24</v>
      </c>
      <c r="C70" s="46" t="s">
        <v>316</v>
      </c>
      <c r="D70" s="46" t="s">
        <v>18</v>
      </c>
      <c r="E70" s="80">
        <f>'прил 12'!F71+'прил 12'!F488+'прил 12'!F30</f>
        <v>836905</v>
      </c>
      <c r="F70" s="80">
        <f>'прил 12'!G71+'прил 12'!G488+'прил 12'!G30</f>
        <v>836905</v>
      </c>
      <c r="G70" s="94"/>
    </row>
    <row r="71" spans="1:7" outlineLevel="6">
      <c r="A71" s="45" t="s">
        <v>322</v>
      </c>
      <c r="B71" s="46" t="s">
        <v>24</v>
      </c>
      <c r="C71" s="46" t="s">
        <v>323</v>
      </c>
      <c r="D71" s="46" t="s">
        <v>6</v>
      </c>
      <c r="E71" s="80">
        <f>E72</f>
        <v>50000</v>
      </c>
      <c r="F71" s="80">
        <f>F72</f>
        <v>50000</v>
      </c>
      <c r="G71" s="94"/>
    </row>
    <row r="72" spans="1:7" ht="18" customHeight="1" outlineLevel="5">
      <c r="A72" s="45" t="s">
        <v>15</v>
      </c>
      <c r="B72" s="46" t="s">
        <v>24</v>
      </c>
      <c r="C72" s="46" t="s">
        <v>323</v>
      </c>
      <c r="D72" s="46" t="s">
        <v>16</v>
      </c>
      <c r="E72" s="80">
        <f>E73</f>
        <v>50000</v>
      </c>
      <c r="F72" s="80">
        <f>F73</f>
        <v>50000</v>
      </c>
      <c r="G72" s="94"/>
    </row>
    <row r="73" spans="1:7" ht="36" outlineLevel="6">
      <c r="A73" s="45" t="s">
        <v>17</v>
      </c>
      <c r="B73" s="46" t="s">
        <v>24</v>
      </c>
      <c r="C73" s="46" t="s">
        <v>323</v>
      </c>
      <c r="D73" s="46" t="s">
        <v>18</v>
      </c>
      <c r="E73" s="80">
        <f>'прил 12'!F74</f>
        <v>50000</v>
      </c>
      <c r="F73" s="80">
        <f>'прил 12'!G74</f>
        <v>50000</v>
      </c>
      <c r="G73" s="94"/>
    </row>
    <row r="74" spans="1:7" ht="36" outlineLevel="4">
      <c r="A74" s="45" t="s">
        <v>216</v>
      </c>
      <c r="B74" s="46" t="s">
        <v>24</v>
      </c>
      <c r="C74" s="46" t="s">
        <v>231</v>
      </c>
      <c r="D74" s="46" t="s">
        <v>6</v>
      </c>
      <c r="E74" s="80">
        <f>E75</f>
        <v>22135496.030000001</v>
      </c>
      <c r="F74" s="80">
        <f>F75</f>
        <v>22258918.800000001</v>
      </c>
      <c r="G74" s="94"/>
    </row>
    <row r="75" spans="1:7" ht="39.15" customHeight="1" outlineLevel="5">
      <c r="A75" s="45" t="s">
        <v>33</v>
      </c>
      <c r="B75" s="46" t="s">
        <v>24</v>
      </c>
      <c r="C75" s="46" t="s">
        <v>130</v>
      </c>
      <c r="D75" s="46" t="s">
        <v>6</v>
      </c>
      <c r="E75" s="80">
        <f>E76+E78+E80</f>
        <v>22135496.030000001</v>
      </c>
      <c r="F75" s="80">
        <f>F76+F78+F80</f>
        <v>22258918.800000001</v>
      </c>
      <c r="G75" s="94"/>
    </row>
    <row r="76" spans="1:7" ht="55.5" customHeight="1" outlineLevel="6">
      <c r="A76" s="45" t="s">
        <v>11</v>
      </c>
      <c r="B76" s="46" t="s">
        <v>24</v>
      </c>
      <c r="C76" s="46" t="s">
        <v>130</v>
      </c>
      <c r="D76" s="46" t="s">
        <v>12</v>
      </c>
      <c r="E76" s="80">
        <f>E77</f>
        <v>11334046.030000001</v>
      </c>
      <c r="F76" s="80">
        <f>F77</f>
        <v>11457468.800000001</v>
      </c>
      <c r="G76" s="94"/>
    </row>
    <row r="77" spans="1:7" outlineLevel="5">
      <c r="A77" s="45" t="s">
        <v>34</v>
      </c>
      <c r="B77" s="46" t="s">
        <v>24</v>
      </c>
      <c r="C77" s="46" t="s">
        <v>130</v>
      </c>
      <c r="D77" s="46" t="s">
        <v>35</v>
      </c>
      <c r="E77" s="80">
        <f>'прил 12'!F78</f>
        <v>11334046.030000001</v>
      </c>
      <c r="F77" s="80">
        <f>'прил 12'!G78</f>
        <v>11457468.800000001</v>
      </c>
      <c r="G77" s="94"/>
    </row>
    <row r="78" spans="1:7" ht="18" customHeight="1" outlineLevel="6">
      <c r="A78" s="45" t="s">
        <v>15</v>
      </c>
      <c r="B78" s="46" t="s">
        <v>24</v>
      </c>
      <c r="C78" s="46" t="s">
        <v>130</v>
      </c>
      <c r="D78" s="46" t="s">
        <v>16</v>
      </c>
      <c r="E78" s="80">
        <f>E79</f>
        <v>10000000</v>
      </c>
      <c r="F78" s="80">
        <f>F79</f>
        <v>10000000</v>
      </c>
      <c r="G78" s="94"/>
    </row>
    <row r="79" spans="1:7" ht="36" outlineLevel="5">
      <c r="A79" s="45" t="s">
        <v>17</v>
      </c>
      <c r="B79" s="46" t="s">
        <v>24</v>
      </c>
      <c r="C79" s="46" t="s">
        <v>130</v>
      </c>
      <c r="D79" s="46" t="s">
        <v>18</v>
      </c>
      <c r="E79" s="80">
        <f>'прил 12'!F80</f>
        <v>10000000</v>
      </c>
      <c r="F79" s="80">
        <f>'прил 12'!G80</f>
        <v>10000000</v>
      </c>
      <c r="G79" s="94"/>
    </row>
    <row r="80" spans="1:7" outlineLevel="6">
      <c r="A80" s="45" t="s">
        <v>19</v>
      </c>
      <c r="B80" s="46" t="s">
        <v>24</v>
      </c>
      <c r="C80" s="46" t="s">
        <v>130</v>
      </c>
      <c r="D80" s="46" t="s">
        <v>20</v>
      </c>
      <c r="E80" s="80">
        <f>E81</f>
        <v>801450</v>
      </c>
      <c r="F80" s="80">
        <f>F81</f>
        <v>801450</v>
      </c>
      <c r="G80" s="94"/>
    </row>
    <row r="81" spans="1:7" outlineLevel="2">
      <c r="A81" s="45" t="s">
        <v>21</v>
      </c>
      <c r="B81" s="46" t="s">
        <v>24</v>
      </c>
      <c r="C81" s="46" t="s">
        <v>130</v>
      </c>
      <c r="D81" s="46" t="s">
        <v>22</v>
      </c>
      <c r="E81" s="80">
        <f>'прил 12'!F82</f>
        <v>801450</v>
      </c>
      <c r="F81" s="80">
        <f>'прил 12'!G82</f>
        <v>801450</v>
      </c>
      <c r="G81" s="94"/>
    </row>
    <row r="82" spans="1:7" outlineLevel="2">
      <c r="A82" s="164" t="s">
        <v>762</v>
      </c>
      <c r="B82" s="163" t="s">
        <v>24</v>
      </c>
      <c r="C82" s="163" t="s">
        <v>703</v>
      </c>
      <c r="D82" s="163" t="s">
        <v>6</v>
      </c>
      <c r="E82" s="80">
        <f>E83+E86</f>
        <v>2100000</v>
      </c>
      <c r="F82" s="80">
        <f>F83+F86</f>
        <v>2100000</v>
      </c>
      <c r="G82" s="94"/>
    </row>
    <row r="83" spans="1:7" ht="36" outlineLevel="2">
      <c r="A83" s="33" t="s">
        <v>731</v>
      </c>
      <c r="B83" s="163" t="s">
        <v>24</v>
      </c>
      <c r="C83" s="163" t="s">
        <v>702</v>
      </c>
      <c r="D83" s="163" t="s">
        <v>6</v>
      </c>
      <c r="E83" s="80">
        <f>E84</f>
        <v>500000</v>
      </c>
      <c r="F83" s="80">
        <f>F84</f>
        <v>500000</v>
      </c>
      <c r="G83" s="94"/>
    </row>
    <row r="84" spans="1:7" ht="36" outlineLevel="2">
      <c r="A84" s="164" t="s">
        <v>15</v>
      </c>
      <c r="B84" s="163" t="s">
        <v>24</v>
      </c>
      <c r="C84" s="163" t="s">
        <v>702</v>
      </c>
      <c r="D84" s="163" t="s">
        <v>16</v>
      </c>
      <c r="E84" s="80">
        <f>E85</f>
        <v>500000</v>
      </c>
      <c r="F84" s="80">
        <f>F85</f>
        <v>500000</v>
      </c>
      <c r="G84" s="94"/>
    </row>
    <row r="85" spans="1:7" ht="36" outlineLevel="2">
      <c r="A85" s="164" t="s">
        <v>17</v>
      </c>
      <c r="B85" s="163" t="s">
        <v>24</v>
      </c>
      <c r="C85" s="163" t="s">
        <v>702</v>
      </c>
      <c r="D85" s="163" t="s">
        <v>18</v>
      </c>
      <c r="E85" s="80">
        <f>'прил 12'!F86</f>
        <v>500000</v>
      </c>
      <c r="F85" s="80">
        <f>'прил 12'!G86</f>
        <v>500000</v>
      </c>
      <c r="G85" s="94"/>
    </row>
    <row r="86" spans="1:7" ht="36" outlineLevel="2">
      <c r="A86" s="164" t="s">
        <v>701</v>
      </c>
      <c r="B86" s="163" t="s">
        <v>24</v>
      </c>
      <c r="C86" s="163" t="s">
        <v>700</v>
      </c>
      <c r="D86" s="163" t="s">
        <v>6</v>
      </c>
      <c r="E86" s="80">
        <f>E87</f>
        <v>1600000</v>
      </c>
      <c r="F86" s="80">
        <f>F87</f>
        <v>1600000</v>
      </c>
      <c r="G86" s="94"/>
    </row>
    <row r="87" spans="1:7" ht="36" outlineLevel="2">
      <c r="A87" s="164" t="s">
        <v>15</v>
      </c>
      <c r="B87" s="163" t="s">
        <v>24</v>
      </c>
      <c r="C87" s="163" t="s">
        <v>700</v>
      </c>
      <c r="D87" s="163" t="s">
        <v>16</v>
      </c>
      <c r="E87" s="80">
        <f>E88</f>
        <v>1600000</v>
      </c>
      <c r="F87" s="80">
        <f>F88</f>
        <v>1600000</v>
      </c>
      <c r="G87" s="94"/>
    </row>
    <row r="88" spans="1:7" ht="36" outlineLevel="2">
      <c r="A88" s="164" t="s">
        <v>17</v>
      </c>
      <c r="B88" s="163" t="s">
        <v>24</v>
      </c>
      <c r="C88" s="163" t="s">
        <v>700</v>
      </c>
      <c r="D88" s="163" t="s">
        <v>18</v>
      </c>
      <c r="E88" s="80">
        <f>'прил 12'!F89</f>
        <v>1600000</v>
      </c>
      <c r="F88" s="80">
        <f>'прил 12'!G89</f>
        <v>1600000</v>
      </c>
      <c r="G88" s="94"/>
    </row>
    <row r="89" spans="1:7" ht="36" outlineLevel="4">
      <c r="A89" s="75" t="s">
        <v>881</v>
      </c>
      <c r="B89" s="61" t="s">
        <v>24</v>
      </c>
      <c r="C89" s="61" t="s">
        <v>131</v>
      </c>
      <c r="D89" s="61" t="s">
        <v>6</v>
      </c>
      <c r="E89" s="80">
        <f t="shared" ref="E89:F92" si="2">E90</f>
        <v>50000</v>
      </c>
      <c r="F89" s="80">
        <f t="shared" si="2"/>
        <v>50000</v>
      </c>
      <c r="G89" s="94"/>
    </row>
    <row r="90" spans="1:7" ht="21.15" customHeight="1" outlineLevel="5">
      <c r="A90" s="45" t="s">
        <v>324</v>
      </c>
      <c r="B90" s="46" t="s">
        <v>24</v>
      </c>
      <c r="C90" s="46" t="s">
        <v>233</v>
      </c>
      <c r="D90" s="46" t="s">
        <v>6</v>
      </c>
      <c r="E90" s="80">
        <f t="shared" si="2"/>
        <v>50000</v>
      </c>
      <c r="F90" s="80">
        <f t="shared" si="2"/>
        <v>50000</v>
      </c>
      <c r="G90" s="94"/>
    </row>
    <row r="91" spans="1:7" ht="18" customHeight="1" outlineLevel="6">
      <c r="A91" s="45" t="s">
        <v>325</v>
      </c>
      <c r="B91" s="46" t="s">
        <v>24</v>
      </c>
      <c r="C91" s="46" t="s">
        <v>326</v>
      </c>
      <c r="D91" s="46" t="s">
        <v>6</v>
      </c>
      <c r="E91" s="80">
        <f t="shared" si="2"/>
        <v>50000</v>
      </c>
      <c r="F91" s="80">
        <f t="shared" si="2"/>
        <v>50000</v>
      </c>
      <c r="G91" s="94"/>
    </row>
    <row r="92" spans="1:7" ht="18" customHeight="1" outlineLevel="6">
      <c r="A92" s="45" t="s">
        <v>15</v>
      </c>
      <c r="B92" s="46" t="s">
        <v>24</v>
      </c>
      <c r="C92" s="46" t="s">
        <v>326</v>
      </c>
      <c r="D92" s="46" t="s">
        <v>16</v>
      </c>
      <c r="E92" s="80">
        <f t="shared" si="2"/>
        <v>50000</v>
      </c>
      <c r="F92" s="80">
        <f t="shared" si="2"/>
        <v>50000</v>
      </c>
      <c r="G92" s="94"/>
    </row>
    <row r="93" spans="1:7" ht="41.25" customHeight="1" outlineLevel="6">
      <c r="A93" s="45" t="s">
        <v>17</v>
      </c>
      <c r="B93" s="46" t="s">
        <v>24</v>
      </c>
      <c r="C93" s="46" t="s">
        <v>326</v>
      </c>
      <c r="D93" s="46" t="s">
        <v>18</v>
      </c>
      <c r="E93" s="80">
        <f>'прил 12'!F94</f>
        <v>50000</v>
      </c>
      <c r="F93" s="80">
        <f>'прил 12'!G94</f>
        <v>50000</v>
      </c>
      <c r="G93" s="94"/>
    </row>
    <row r="94" spans="1:7" ht="38.25" customHeight="1" outlineLevel="6">
      <c r="A94" s="75" t="s">
        <v>857</v>
      </c>
      <c r="B94" s="61" t="s">
        <v>24</v>
      </c>
      <c r="C94" s="61" t="s">
        <v>317</v>
      </c>
      <c r="D94" s="61" t="s">
        <v>6</v>
      </c>
      <c r="E94" s="80">
        <f>E95</f>
        <v>2021373.5</v>
      </c>
      <c r="F94" s="80">
        <f>F95</f>
        <v>2021373.5</v>
      </c>
      <c r="G94" s="94"/>
    </row>
    <row r="95" spans="1:7" ht="36" outlineLevel="6">
      <c r="A95" s="48" t="s">
        <v>327</v>
      </c>
      <c r="B95" s="46" t="s">
        <v>24</v>
      </c>
      <c r="C95" s="46" t="s">
        <v>318</v>
      </c>
      <c r="D95" s="46" t="s">
        <v>6</v>
      </c>
      <c r="E95" s="80">
        <f>E96+E99</f>
        <v>2021373.5</v>
      </c>
      <c r="F95" s="80">
        <f>F96+F99</f>
        <v>2021373.5</v>
      </c>
      <c r="G95" s="94"/>
    </row>
    <row r="96" spans="1:7" ht="39.75" customHeight="1" outlineLevel="6">
      <c r="A96" s="48" t="s">
        <v>328</v>
      </c>
      <c r="B96" s="46" t="s">
        <v>24</v>
      </c>
      <c r="C96" s="46" t="s">
        <v>329</v>
      </c>
      <c r="D96" s="46" t="s">
        <v>6</v>
      </c>
      <c r="E96" s="80">
        <f>E97</f>
        <v>1977216</v>
      </c>
      <c r="F96" s="80">
        <f>F97</f>
        <v>1977216</v>
      </c>
      <c r="G96" s="94"/>
    </row>
    <row r="97" spans="1:7" ht="21.75" customHeight="1" outlineLevel="6">
      <c r="A97" s="45" t="s">
        <v>15</v>
      </c>
      <c r="B97" s="46" t="s">
        <v>24</v>
      </c>
      <c r="C97" s="46" t="s">
        <v>329</v>
      </c>
      <c r="D97" s="46" t="s">
        <v>16</v>
      </c>
      <c r="E97" s="80">
        <f>E98</f>
        <v>1977216</v>
      </c>
      <c r="F97" s="80">
        <f>F98</f>
        <v>1977216</v>
      </c>
      <c r="G97" s="94"/>
    </row>
    <row r="98" spans="1:7" ht="36" outlineLevel="6">
      <c r="A98" s="45" t="s">
        <v>17</v>
      </c>
      <c r="B98" s="46" t="s">
        <v>24</v>
      </c>
      <c r="C98" s="46" t="s">
        <v>329</v>
      </c>
      <c r="D98" s="46" t="s">
        <v>18</v>
      </c>
      <c r="E98" s="80">
        <f>'прил 12'!F99+'прил 12'!F35</f>
        <v>1977216</v>
      </c>
      <c r="F98" s="80">
        <f>'прил 12'!G99+'прил 12'!G35</f>
        <v>1977216</v>
      </c>
      <c r="G98" s="94"/>
    </row>
    <row r="99" spans="1:7" ht="19.5" customHeight="1" outlineLevel="6">
      <c r="A99" s="48" t="s">
        <v>330</v>
      </c>
      <c r="B99" s="46" t="s">
        <v>24</v>
      </c>
      <c r="C99" s="46" t="s">
        <v>319</v>
      </c>
      <c r="D99" s="46" t="s">
        <v>6</v>
      </c>
      <c r="E99" s="80">
        <f>E100</f>
        <v>44157.5</v>
      </c>
      <c r="F99" s="80">
        <f>F100</f>
        <v>44157.5</v>
      </c>
      <c r="G99" s="94"/>
    </row>
    <row r="100" spans="1:7" ht="17.399999999999999" customHeight="1" outlineLevel="6">
      <c r="A100" s="45" t="s">
        <v>15</v>
      </c>
      <c r="B100" s="46" t="s">
        <v>24</v>
      </c>
      <c r="C100" s="46" t="s">
        <v>319</v>
      </c>
      <c r="D100" s="46" t="s">
        <v>16</v>
      </c>
      <c r="E100" s="80">
        <f>E101</f>
        <v>44157.5</v>
      </c>
      <c r="F100" s="80">
        <f>F101</f>
        <v>44157.5</v>
      </c>
      <c r="G100" s="94"/>
    </row>
    <row r="101" spans="1:7" ht="36" outlineLevel="6">
      <c r="A101" s="45" t="s">
        <v>17</v>
      </c>
      <c r="B101" s="46" t="s">
        <v>24</v>
      </c>
      <c r="C101" s="46" t="s">
        <v>319</v>
      </c>
      <c r="D101" s="46" t="s">
        <v>18</v>
      </c>
      <c r="E101" s="80">
        <f>'прил 12'!F102</f>
        <v>44157.5</v>
      </c>
      <c r="F101" s="80">
        <f>'прил 12'!G102</f>
        <v>44157.5</v>
      </c>
      <c r="G101" s="94"/>
    </row>
    <row r="102" spans="1:7" ht="39.75" customHeight="1" outlineLevel="4">
      <c r="A102" s="75" t="s">
        <v>880</v>
      </c>
      <c r="B102" s="61" t="s">
        <v>24</v>
      </c>
      <c r="C102" s="61" t="s">
        <v>331</v>
      </c>
      <c r="D102" s="61" t="s">
        <v>6</v>
      </c>
      <c r="E102" s="80">
        <f>E103</f>
        <v>1600000</v>
      </c>
      <c r="F102" s="80">
        <f>F103</f>
        <v>1600000</v>
      </c>
      <c r="G102" s="94"/>
    </row>
    <row r="103" spans="1:7" ht="39.75" customHeight="1" outlineLevel="5">
      <c r="A103" s="45" t="s">
        <v>215</v>
      </c>
      <c r="B103" s="46" t="s">
        <v>24</v>
      </c>
      <c r="C103" s="46" t="s">
        <v>332</v>
      </c>
      <c r="D103" s="46" t="s">
        <v>6</v>
      </c>
      <c r="E103" s="80">
        <f>E104</f>
        <v>1600000</v>
      </c>
      <c r="F103" s="80">
        <f>F104</f>
        <v>1600000</v>
      </c>
      <c r="G103" s="94"/>
    </row>
    <row r="104" spans="1:7" ht="36" customHeight="1" outlineLevel="6">
      <c r="A104" s="45" t="s">
        <v>32</v>
      </c>
      <c r="B104" s="46" t="s">
        <v>24</v>
      </c>
      <c r="C104" s="46" t="s">
        <v>333</v>
      </c>
      <c r="D104" s="46" t="s">
        <v>6</v>
      </c>
      <c r="E104" s="80">
        <f>E105+E107</f>
        <v>1600000</v>
      </c>
      <c r="F104" s="80">
        <f>F105+F107</f>
        <v>1600000</v>
      </c>
      <c r="G104" s="94"/>
    </row>
    <row r="105" spans="1:7" ht="19.5" customHeight="1" outlineLevel="5">
      <c r="A105" s="45" t="s">
        <v>15</v>
      </c>
      <c r="B105" s="46" t="s">
        <v>24</v>
      </c>
      <c r="C105" s="46" t="s">
        <v>333</v>
      </c>
      <c r="D105" s="46" t="s">
        <v>16</v>
      </c>
      <c r="E105" s="80">
        <f>E106</f>
        <v>1460000</v>
      </c>
      <c r="F105" s="80">
        <f>F106</f>
        <v>1460000</v>
      </c>
      <c r="G105" s="94"/>
    </row>
    <row r="106" spans="1:7" ht="36" outlineLevel="6">
      <c r="A106" s="45" t="s">
        <v>17</v>
      </c>
      <c r="B106" s="46" t="s">
        <v>24</v>
      </c>
      <c r="C106" s="46" t="s">
        <v>333</v>
      </c>
      <c r="D106" s="46" t="s">
        <v>18</v>
      </c>
      <c r="E106" s="80">
        <f>'прил 12'!F107</f>
        <v>1460000</v>
      </c>
      <c r="F106" s="80">
        <f>'прил 12'!G107</f>
        <v>1460000</v>
      </c>
      <c r="G106" s="94"/>
    </row>
    <row r="107" spans="1:7" ht="19.5" customHeight="1" outlineLevel="4">
      <c r="A107" s="45" t="s">
        <v>19</v>
      </c>
      <c r="B107" s="46" t="s">
        <v>24</v>
      </c>
      <c r="C107" s="46" t="s">
        <v>333</v>
      </c>
      <c r="D107" s="46" t="s">
        <v>20</v>
      </c>
      <c r="E107" s="80">
        <f>E108</f>
        <v>140000</v>
      </c>
      <c r="F107" s="80">
        <f>F108</f>
        <v>140000</v>
      </c>
      <c r="G107" s="94"/>
    </row>
    <row r="108" spans="1:7" ht="19.5" customHeight="1" outlineLevel="5">
      <c r="A108" s="45" t="s">
        <v>21</v>
      </c>
      <c r="B108" s="46" t="s">
        <v>24</v>
      </c>
      <c r="C108" s="46" t="s">
        <v>333</v>
      </c>
      <c r="D108" s="46" t="s">
        <v>22</v>
      </c>
      <c r="E108" s="80">
        <f>'прил 12'!F109</f>
        <v>140000</v>
      </c>
      <c r="F108" s="80">
        <f>'прил 12'!G109</f>
        <v>140000</v>
      </c>
      <c r="G108" s="94"/>
    </row>
    <row r="109" spans="1:7" outlineLevel="6">
      <c r="A109" s="45" t="s">
        <v>198</v>
      </c>
      <c r="B109" s="46" t="s">
        <v>24</v>
      </c>
      <c r="C109" s="46" t="s">
        <v>127</v>
      </c>
      <c r="D109" s="46" t="s">
        <v>6</v>
      </c>
      <c r="E109" s="80">
        <f>E110+E119+E122+E125+E115</f>
        <v>44388577</v>
      </c>
      <c r="F109" s="80">
        <f>F110+F119+F122+F125+F115</f>
        <v>46006289.950000003</v>
      </c>
      <c r="G109" s="94"/>
    </row>
    <row r="110" spans="1:7" ht="39.15" customHeight="1" outlineLevel="5">
      <c r="A110" s="45" t="s">
        <v>498</v>
      </c>
      <c r="B110" s="46" t="s">
        <v>24</v>
      </c>
      <c r="C110" s="46" t="s">
        <v>499</v>
      </c>
      <c r="D110" s="46" t="s">
        <v>6</v>
      </c>
      <c r="E110" s="80">
        <f>E111+E113</f>
        <v>36378471</v>
      </c>
      <c r="F110" s="80">
        <f>F111+F113</f>
        <v>37757327.950000003</v>
      </c>
      <c r="G110" s="94"/>
    </row>
    <row r="111" spans="1:7" ht="54.75" customHeight="1" outlineLevel="6">
      <c r="A111" s="45" t="s">
        <v>11</v>
      </c>
      <c r="B111" s="46" t="s">
        <v>24</v>
      </c>
      <c r="C111" s="46" t="s">
        <v>499</v>
      </c>
      <c r="D111" s="46" t="s">
        <v>12</v>
      </c>
      <c r="E111" s="80">
        <f>E112</f>
        <v>36358471</v>
      </c>
      <c r="F111" s="80">
        <f>F112</f>
        <v>37737327.950000003</v>
      </c>
      <c r="G111" s="94"/>
    </row>
    <row r="112" spans="1:7" ht="18" customHeight="1" outlineLevel="4">
      <c r="A112" s="45" t="s">
        <v>13</v>
      </c>
      <c r="B112" s="46" t="s">
        <v>24</v>
      </c>
      <c r="C112" s="46" t="s">
        <v>499</v>
      </c>
      <c r="D112" s="46" t="s">
        <v>14</v>
      </c>
      <c r="E112" s="80">
        <f>'прил 12'!F113</f>
        <v>36358471</v>
      </c>
      <c r="F112" s="80">
        <f>'прил 12'!G113</f>
        <v>37737327.950000003</v>
      </c>
      <c r="G112" s="94"/>
    </row>
    <row r="113" spans="1:7" ht="18" customHeight="1" outlineLevel="5">
      <c r="A113" s="45" t="s">
        <v>15</v>
      </c>
      <c r="B113" s="46" t="s">
        <v>24</v>
      </c>
      <c r="C113" s="46" t="s">
        <v>499</v>
      </c>
      <c r="D113" s="46" t="s">
        <v>16</v>
      </c>
      <c r="E113" s="80">
        <f>E114</f>
        <v>20000</v>
      </c>
      <c r="F113" s="80">
        <f>F114</f>
        <v>20000</v>
      </c>
      <c r="G113" s="94"/>
    </row>
    <row r="114" spans="1:7" ht="36" outlineLevel="6">
      <c r="A114" s="45" t="s">
        <v>17</v>
      </c>
      <c r="B114" s="46" t="s">
        <v>24</v>
      </c>
      <c r="C114" s="46" t="s">
        <v>499</v>
      </c>
      <c r="D114" s="46" t="s">
        <v>18</v>
      </c>
      <c r="E114" s="80">
        <f>'прил 12'!F115</f>
        <v>20000</v>
      </c>
      <c r="F114" s="80">
        <f>'прил 12'!G115</f>
        <v>20000</v>
      </c>
      <c r="G114" s="94"/>
    </row>
    <row r="115" spans="1:7" ht="36" outlineLevel="6">
      <c r="A115" s="164" t="s">
        <v>699</v>
      </c>
      <c r="B115" s="163" t="s">
        <v>24</v>
      </c>
      <c r="C115" s="163" t="s">
        <v>697</v>
      </c>
      <c r="D115" s="163" t="s">
        <v>6</v>
      </c>
      <c r="E115" s="80">
        <f>E116</f>
        <v>150000</v>
      </c>
      <c r="F115" s="80">
        <f>F116</f>
        <v>150000</v>
      </c>
      <c r="G115" s="94"/>
    </row>
    <row r="116" spans="1:7" outlineLevel="6">
      <c r="A116" s="164" t="s">
        <v>19</v>
      </c>
      <c r="B116" s="163" t="s">
        <v>24</v>
      </c>
      <c r="C116" s="163" t="s">
        <v>697</v>
      </c>
      <c r="D116" s="163" t="s">
        <v>20</v>
      </c>
      <c r="E116" s="80">
        <f>E117+E118</f>
        <v>150000</v>
      </c>
      <c r="F116" s="80">
        <f>F117+F118</f>
        <v>150000</v>
      </c>
      <c r="G116" s="94"/>
    </row>
    <row r="117" spans="1:7" ht="29.25" hidden="1" customHeight="1" outlineLevel="6">
      <c r="A117" s="164" t="s">
        <v>729</v>
      </c>
      <c r="B117" s="163" t="s">
        <v>24</v>
      </c>
      <c r="C117" s="163" t="s">
        <v>697</v>
      </c>
      <c r="D117" s="205" t="s">
        <v>730</v>
      </c>
      <c r="E117" s="80"/>
      <c r="F117" s="80"/>
      <c r="G117" s="94"/>
    </row>
    <row r="118" spans="1:7" ht="24" customHeight="1" outlineLevel="6">
      <c r="A118" s="164" t="s">
        <v>698</v>
      </c>
      <c r="B118" s="163" t="s">
        <v>24</v>
      </c>
      <c r="C118" s="163" t="s">
        <v>697</v>
      </c>
      <c r="D118" s="163" t="s">
        <v>22</v>
      </c>
      <c r="E118" s="80">
        <f>'прил 12'!F119</f>
        <v>150000</v>
      </c>
      <c r="F118" s="80">
        <f>'прил 12'!G119</f>
        <v>150000</v>
      </c>
      <c r="G118" s="94"/>
    </row>
    <row r="119" spans="1:7" ht="36" outlineLevel="6">
      <c r="A119" s="45" t="s">
        <v>544</v>
      </c>
      <c r="B119" s="46" t="s">
        <v>24</v>
      </c>
      <c r="C119" s="46" t="s">
        <v>506</v>
      </c>
      <c r="D119" s="46" t="s">
        <v>6</v>
      </c>
      <c r="E119" s="80">
        <f>E120</f>
        <v>200000</v>
      </c>
      <c r="F119" s="80">
        <f>F120</f>
        <v>200000</v>
      </c>
      <c r="G119" s="94"/>
    </row>
    <row r="120" spans="1:7" ht="18" customHeight="1" outlineLevel="6">
      <c r="A120" s="45" t="s">
        <v>15</v>
      </c>
      <c r="B120" s="46" t="s">
        <v>24</v>
      </c>
      <c r="C120" s="46" t="s">
        <v>506</v>
      </c>
      <c r="D120" s="46" t="s">
        <v>16</v>
      </c>
      <c r="E120" s="80">
        <f>E121</f>
        <v>200000</v>
      </c>
      <c r="F120" s="80">
        <f>F121</f>
        <v>200000</v>
      </c>
      <c r="G120" s="94"/>
    </row>
    <row r="121" spans="1:7" ht="38.25" customHeight="1" outlineLevel="4">
      <c r="A121" s="45" t="s">
        <v>17</v>
      </c>
      <c r="B121" s="46" t="s">
        <v>24</v>
      </c>
      <c r="C121" s="46" t="s">
        <v>506</v>
      </c>
      <c r="D121" s="46" t="s">
        <v>18</v>
      </c>
      <c r="E121" s="80">
        <f>'прил 12'!F127</f>
        <v>200000</v>
      </c>
      <c r="F121" s="80">
        <f>'прил 12'!G127</f>
        <v>200000</v>
      </c>
      <c r="G121" s="94"/>
    </row>
    <row r="122" spans="1:7" ht="18.75" customHeight="1" outlineLevel="5">
      <c r="A122" s="45" t="s">
        <v>536</v>
      </c>
      <c r="B122" s="46" t="s">
        <v>24</v>
      </c>
      <c r="C122" s="46" t="s">
        <v>537</v>
      </c>
      <c r="D122" s="46" t="s">
        <v>6</v>
      </c>
      <c r="E122" s="80">
        <f>E123</f>
        <v>104000</v>
      </c>
      <c r="F122" s="80">
        <f>F123</f>
        <v>104000</v>
      </c>
      <c r="G122" s="94"/>
    </row>
    <row r="123" spans="1:7" ht="18.75" customHeight="1" outlineLevel="6">
      <c r="A123" s="45" t="s">
        <v>15</v>
      </c>
      <c r="B123" s="46" t="s">
        <v>24</v>
      </c>
      <c r="C123" s="46" t="s">
        <v>537</v>
      </c>
      <c r="D123" s="46" t="s">
        <v>16</v>
      </c>
      <c r="E123" s="80">
        <f>E124</f>
        <v>104000</v>
      </c>
      <c r="F123" s="80">
        <f>F124</f>
        <v>104000</v>
      </c>
      <c r="G123" s="94"/>
    </row>
    <row r="124" spans="1:7" ht="36" outlineLevel="5">
      <c r="A124" s="45" t="s">
        <v>17</v>
      </c>
      <c r="B124" s="46" t="s">
        <v>24</v>
      </c>
      <c r="C124" s="46" t="s">
        <v>537</v>
      </c>
      <c r="D124" s="46" t="s">
        <v>18</v>
      </c>
      <c r="E124" s="80">
        <f>'прил 12'!F492</f>
        <v>104000</v>
      </c>
      <c r="F124" s="80">
        <f>'прил 12'!G492</f>
        <v>104000</v>
      </c>
      <c r="G124" s="94"/>
    </row>
    <row r="125" spans="1:7" outlineLevel="6">
      <c r="A125" s="45" t="s">
        <v>277</v>
      </c>
      <c r="B125" s="46" t="s">
        <v>24</v>
      </c>
      <c r="C125" s="46" t="s">
        <v>276</v>
      </c>
      <c r="D125" s="46" t="s">
        <v>6</v>
      </c>
      <c r="E125" s="80">
        <f>E149+E126+E134+E139+E144+E131</f>
        <v>7556106</v>
      </c>
      <c r="F125" s="80">
        <f>F149+F126+F134+F139+F144+F131</f>
        <v>7794962</v>
      </c>
      <c r="G125" s="94"/>
    </row>
    <row r="126" spans="1:7" ht="58.65" customHeight="1" outlineLevel="3">
      <c r="A126" s="28" t="s">
        <v>411</v>
      </c>
      <c r="B126" s="46" t="s">
        <v>24</v>
      </c>
      <c r="C126" s="46" t="s">
        <v>278</v>
      </c>
      <c r="D126" s="46" t="s">
        <v>6</v>
      </c>
      <c r="E126" s="80">
        <f>E127+E129</f>
        <v>1430240</v>
      </c>
      <c r="F126" s="80">
        <f>F127+F129</f>
        <v>1480720</v>
      </c>
      <c r="G126" s="94"/>
    </row>
    <row r="127" spans="1:7" ht="55.5" customHeight="1" outlineLevel="4">
      <c r="A127" s="45" t="s">
        <v>11</v>
      </c>
      <c r="B127" s="46" t="s">
        <v>24</v>
      </c>
      <c r="C127" s="46" t="s">
        <v>278</v>
      </c>
      <c r="D127" s="46" t="s">
        <v>12</v>
      </c>
      <c r="E127" s="80">
        <f>E128</f>
        <v>1415240</v>
      </c>
      <c r="F127" s="80">
        <f>F128</f>
        <v>1465720</v>
      </c>
      <c r="G127" s="94"/>
    </row>
    <row r="128" spans="1:7" ht="18" customHeight="1" outlineLevel="5">
      <c r="A128" s="45" t="s">
        <v>13</v>
      </c>
      <c r="B128" s="46" t="s">
        <v>24</v>
      </c>
      <c r="C128" s="46" t="s">
        <v>278</v>
      </c>
      <c r="D128" s="46" t="s">
        <v>14</v>
      </c>
      <c r="E128" s="80">
        <f>'прил 12'!F131</f>
        <v>1415240</v>
      </c>
      <c r="F128" s="80">
        <f>'прил 12'!G131</f>
        <v>1465720</v>
      </c>
      <c r="G128" s="94"/>
    </row>
    <row r="129" spans="1:7" ht="18" customHeight="1" outlineLevel="6">
      <c r="A129" s="45" t="s">
        <v>15</v>
      </c>
      <c r="B129" s="46" t="s">
        <v>24</v>
      </c>
      <c r="C129" s="46" t="s">
        <v>278</v>
      </c>
      <c r="D129" s="46" t="s">
        <v>16</v>
      </c>
      <c r="E129" s="80">
        <f>E130</f>
        <v>15000</v>
      </c>
      <c r="F129" s="80">
        <f>F130</f>
        <v>15000</v>
      </c>
      <c r="G129" s="94"/>
    </row>
    <row r="130" spans="1:7" s="3" customFormat="1" ht="36">
      <c r="A130" s="45" t="s">
        <v>17</v>
      </c>
      <c r="B130" s="46" t="s">
        <v>24</v>
      </c>
      <c r="C130" s="46" t="s">
        <v>278</v>
      </c>
      <c r="D130" s="46" t="s">
        <v>18</v>
      </c>
      <c r="E130" s="80">
        <f>'прил 12'!F133</f>
        <v>15000</v>
      </c>
      <c r="F130" s="80">
        <f>'прил 12'!G133</f>
        <v>15000</v>
      </c>
      <c r="G130" s="94"/>
    </row>
    <row r="131" spans="1:7" s="3" customFormat="1" ht="72">
      <c r="A131" s="164" t="s">
        <v>736</v>
      </c>
      <c r="B131" s="163" t="s">
        <v>24</v>
      </c>
      <c r="C131" s="163" t="s">
        <v>735</v>
      </c>
      <c r="D131" s="163" t="s">
        <v>6</v>
      </c>
      <c r="E131" s="80">
        <f>E132</f>
        <v>353579</v>
      </c>
      <c r="F131" s="80">
        <f>F132</f>
        <v>353579</v>
      </c>
      <c r="G131" s="94"/>
    </row>
    <row r="132" spans="1:7" s="3" customFormat="1" ht="72">
      <c r="A132" s="45" t="s">
        <v>11</v>
      </c>
      <c r="B132" s="163" t="s">
        <v>24</v>
      </c>
      <c r="C132" s="163" t="s">
        <v>735</v>
      </c>
      <c r="D132" s="163" t="s">
        <v>12</v>
      </c>
      <c r="E132" s="80">
        <f>E133</f>
        <v>353579</v>
      </c>
      <c r="F132" s="80">
        <f>F133</f>
        <v>353579</v>
      </c>
      <c r="G132" s="94"/>
    </row>
    <row r="133" spans="1:7" s="3" customFormat="1">
      <c r="A133" s="45" t="s">
        <v>13</v>
      </c>
      <c r="B133" s="163" t="s">
        <v>24</v>
      </c>
      <c r="C133" s="163" t="s">
        <v>735</v>
      </c>
      <c r="D133" s="163" t="s">
        <v>14</v>
      </c>
      <c r="E133" s="80">
        <f>'прил 12'!F136</f>
        <v>353579</v>
      </c>
      <c r="F133" s="80">
        <f>'прил 12'!G136</f>
        <v>353579</v>
      </c>
      <c r="G133" s="94"/>
    </row>
    <row r="134" spans="1:7" ht="20.25" customHeight="1" outlineLevel="1">
      <c r="A134" s="28" t="s">
        <v>584</v>
      </c>
      <c r="B134" s="46" t="s">
        <v>24</v>
      </c>
      <c r="C134" s="46" t="s">
        <v>591</v>
      </c>
      <c r="D134" s="46" t="s">
        <v>6</v>
      </c>
      <c r="E134" s="80">
        <f>E135+E137</f>
        <v>2174817</v>
      </c>
      <c r="F134" s="80">
        <f>F135+F137</f>
        <v>2256758</v>
      </c>
      <c r="G134" s="94"/>
    </row>
    <row r="135" spans="1:7" ht="54.75" customHeight="1" outlineLevel="3">
      <c r="A135" s="45" t="s">
        <v>11</v>
      </c>
      <c r="B135" s="46" t="s">
        <v>24</v>
      </c>
      <c r="C135" s="46" t="s">
        <v>591</v>
      </c>
      <c r="D135" s="46" t="s">
        <v>12</v>
      </c>
      <c r="E135" s="80">
        <f>E136</f>
        <v>2159817</v>
      </c>
      <c r="F135" s="80">
        <f>F136</f>
        <v>2241758</v>
      </c>
      <c r="G135" s="94"/>
    </row>
    <row r="136" spans="1:7" ht="18" customHeight="1" outlineLevel="4">
      <c r="A136" s="45" t="s">
        <v>13</v>
      </c>
      <c r="B136" s="46" t="s">
        <v>24</v>
      </c>
      <c r="C136" s="46" t="s">
        <v>591</v>
      </c>
      <c r="D136" s="46" t="s">
        <v>14</v>
      </c>
      <c r="E136" s="80">
        <f>'прил 12'!F139</f>
        <v>2159817</v>
      </c>
      <c r="F136" s="80">
        <f>'прил 12'!G139</f>
        <v>2241758</v>
      </c>
      <c r="G136" s="94"/>
    </row>
    <row r="137" spans="1:7" ht="18" customHeight="1" outlineLevel="5">
      <c r="A137" s="45" t="s">
        <v>15</v>
      </c>
      <c r="B137" s="46" t="s">
        <v>24</v>
      </c>
      <c r="C137" s="46" t="s">
        <v>591</v>
      </c>
      <c r="D137" s="46" t="s">
        <v>16</v>
      </c>
      <c r="E137" s="80">
        <f>E138</f>
        <v>15000</v>
      </c>
      <c r="F137" s="80">
        <f>F138</f>
        <v>15000</v>
      </c>
      <c r="G137" s="94"/>
    </row>
    <row r="138" spans="1:7" ht="36" outlineLevel="6">
      <c r="A138" s="45" t="s">
        <v>17</v>
      </c>
      <c r="B138" s="46" t="s">
        <v>24</v>
      </c>
      <c r="C138" s="46" t="s">
        <v>591</v>
      </c>
      <c r="D138" s="46" t="s">
        <v>18</v>
      </c>
      <c r="E138" s="80">
        <f>'прил 12'!F141</f>
        <v>15000</v>
      </c>
      <c r="F138" s="80">
        <f>'прил 12'!G141</f>
        <v>15000</v>
      </c>
      <c r="G138" s="94"/>
    </row>
    <row r="139" spans="1:7" s="3" customFormat="1" ht="58.65" customHeight="1">
      <c r="A139" s="28" t="s">
        <v>382</v>
      </c>
      <c r="B139" s="46" t="s">
        <v>24</v>
      </c>
      <c r="C139" s="46" t="s">
        <v>279</v>
      </c>
      <c r="D139" s="46" t="s">
        <v>6</v>
      </c>
      <c r="E139" s="80">
        <f>E140+E142</f>
        <v>861546</v>
      </c>
      <c r="F139" s="80">
        <f>F140+F142</f>
        <v>893408</v>
      </c>
      <c r="G139" s="94"/>
    </row>
    <row r="140" spans="1:7" s="3" customFormat="1" ht="55.5" customHeight="1">
      <c r="A140" s="45" t="s">
        <v>11</v>
      </c>
      <c r="B140" s="46" t="s">
        <v>24</v>
      </c>
      <c r="C140" s="46" t="s">
        <v>279</v>
      </c>
      <c r="D140" s="46" t="s">
        <v>12</v>
      </c>
      <c r="E140" s="80">
        <f>E141</f>
        <v>816546</v>
      </c>
      <c r="F140" s="80">
        <f>F141</f>
        <v>848408</v>
      </c>
      <c r="G140" s="94"/>
    </row>
    <row r="141" spans="1:7" s="3" customFormat="1" ht="18" customHeight="1">
      <c r="A141" s="45" t="s">
        <v>13</v>
      </c>
      <c r="B141" s="46" t="s">
        <v>24</v>
      </c>
      <c r="C141" s="46" t="s">
        <v>279</v>
      </c>
      <c r="D141" s="46" t="s">
        <v>14</v>
      </c>
      <c r="E141" s="80">
        <f>'прил 12'!F144</f>
        <v>816546</v>
      </c>
      <c r="F141" s="80">
        <f>'прил 12'!G144</f>
        <v>848408</v>
      </c>
      <c r="G141" s="94"/>
    </row>
    <row r="142" spans="1:7" s="3" customFormat="1" ht="18" customHeight="1">
      <c r="A142" s="45" t="s">
        <v>15</v>
      </c>
      <c r="B142" s="46" t="s">
        <v>24</v>
      </c>
      <c r="C142" s="46" t="s">
        <v>279</v>
      </c>
      <c r="D142" s="46" t="s">
        <v>16</v>
      </c>
      <c r="E142" s="80">
        <f>E143</f>
        <v>45000</v>
      </c>
      <c r="F142" s="80">
        <f>F143</f>
        <v>45000</v>
      </c>
      <c r="G142" s="94"/>
    </row>
    <row r="143" spans="1:7" s="3" customFormat="1" ht="36">
      <c r="A143" s="45" t="s">
        <v>17</v>
      </c>
      <c r="B143" s="46" t="s">
        <v>24</v>
      </c>
      <c r="C143" s="46" t="s">
        <v>279</v>
      </c>
      <c r="D143" s="46" t="s">
        <v>18</v>
      </c>
      <c r="E143" s="80">
        <f>'прил 12'!F146</f>
        <v>45000</v>
      </c>
      <c r="F143" s="80">
        <f>'прил 12'!G146</f>
        <v>45000</v>
      </c>
      <c r="G143" s="94"/>
    </row>
    <row r="144" spans="1:7" s="3" customFormat="1" ht="36">
      <c r="A144" s="45" t="s">
        <v>406</v>
      </c>
      <c r="B144" s="46" t="s">
        <v>24</v>
      </c>
      <c r="C144" s="46" t="s">
        <v>407</v>
      </c>
      <c r="D144" s="46" t="s">
        <v>6</v>
      </c>
      <c r="E144" s="80">
        <f>E145+E147</f>
        <v>2021924</v>
      </c>
      <c r="F144" s="80">
        <f>F145+F147</f>
        <v>2096497</v>
      </c>
      <c r="G144" s="94"/>
    </row>
    <row r="145" spans="1:7" s="3" customFormat="1" ht="60" customHeight="1">
      <c r="A145" s="45" t="s">
        <v>11</v>
      </c>
      <c r="B145" s="46" t="s">
        <v>24</v>
      </c>
      <c r="C145" s="46" t="s">
        <v>407</v>
      </c>
      <c r="D145" s="46" t="s">
        <v>12</v>
      </c>
      <c r="E145" s="80">
        <f>E146</f>
        <v>1864324</v>
      </c>
      <c r="F145" s="80">
        <f>F146</f>
        <v>1938897</v>
      </c>
      <c r="G145" s="94"/>
    </row>
    <row r="146" spans="1:7" s="3" customFormat="1" ht="20.25" customHeight="1">
      <c r="A146" s="45" t="s">
        <v>13</v>
      </c>
      <c r="B146" s="46" t="s">
        <v>24</v>
      </c>
      <c r="C146" s="46" t="s">
        <v>407</v>
      </c>
      <c r="D146" s="46" t="s">
        <v>14</v>
      </c>
      <c r="E146" s="80">
        <f>'прил 12'!F149</f>
        <v>1864324</v>
      </c>
      <c r="F146" s="80">
        <f>'прил 12'!G149</f>
        <v>1938897</v>
      </c>
      <c r="G146" s="94"/>
    </row>
    <row r="147" spans="1:7" s="3" customFormat="1" ht="20.25" customHeight="1">
      <c r="A147" s="45" t="s">
        <v>15</v>
      </c>
      <c r="B147" s="46" t="s">
        <v>24</v>
      </c>
      <c r="C147" s="46" t="s">
        <v>407</v>
      </c>
      <c r="D147" s="46" t="s">
        <v>16</v>
      </c>
      <c r="E147" s="80">
        <f>E148</f>
        <v>157600</v>
      </c>
      <c r="F147" s="80">
        <f>F148</f>
        <v>157600</v>
      </c>
      <c r="G147" s="94"/>
    </row>
    <row r="148" spans="1:7" s="3" customFormat="1" ht="36">
      <c r="A148" s="45" t="s">
        <v>17</v>
      </c>
      <c r="B148" s="46" t="s">
        <v>24</v>
      </c>
      <c r="C148" s="46" t="s">
        <v>407</v>
      </c>
      <c r="D148" s="46" t="s">
        <v>18</v>
      </c>
      <c r="E148" s="80">
        <f>'прил 12'!F151</f>
        <v>157600</v>
      </c>
      <c r="F148" s="80">
        <f>'прил 12'!G151</f>
        <v>157600</v>
      </c>
      <c r="G148" s="94"/>
    </row>
    <row r="149" spans="1:7" s="3" customFormat="1" ht="74.25" customHeight="1">
      <c r="A149" s="28" t="s">
        <v>671</v>
      </c>
      <c r="B149" s="46" t="s">
        <v>24</v>
      </c>
      <c r="C149" s="46" t="s">
        <v>295</v>
      </c>
      <c r="D149" s="46" t="s">
        <v>6</v>
      </c>
      <c r="E149" s="80">
        <f>E150+E152</f>
        <v>714000</v>
      </c>
      <c r="F149" s="80">
        <f>F150+F152</f>
        <v>714000</v>
      </c>
      <c r="G149" s="94"/>
    </row>
    <row r="150" spans="1:7" ht="55.5" customHeight="1" outlineLevel="1">
      <c r="A150" s="45" t="s">
        <v>11</v>
      </c>
      <c r="B150" s="46" t="s">
        <v>24</v>
      </c>
      <c r="C150" s="46" t="s">
        <v>295</v>
      </c>
      <c r="D150" s="46" t="s">
        <v>12</v>
      </c>
      <c r="E150" s="80">
        <f>E151</f>
        <v>654000</v>
      </c>
      <c r="F150" s="80">
        <f>F151</f>
        <v>654000</v>
      </c>
      <c r="G150" s="94"/>
    </row>
    <row r="151" spans="1:7" ht="18" customHeight="1" outlineLevel="3">
      <c r="A151" s="45" t="s">
        <v>13</v>
      </c>
      <c r="B151" s="46" t="s">
        <v>24</v>
      </c>
      <c r="C151" s="46" t="s">
        <v>295</v>
      </c>
      <c r="D151" s="46" t="s">
        <v>14</v>
      </c>
      <c r="E151" s="80">
        <f>'прил 12'!F154</f>
        <v>654000</v>
      </c>
      <c r="F151" s="80">
        <f>'прил 12'!G154</f>
        <v>654000</v>
      </c>
      <c r="G151" s="94"/>
    </row>
    <row r="152" spans="1:7" ht="36" outlineLevel="3">
      <c r="A152" s="45" t="s">
        <v>15</v>
      </c>
      <c r="B152" s="46" t="s">
        <v>24</v>
      </c>
      <c r="C152" s="46" t="s">
        <v>295</v>
      </c>
      <c r="D152" s="46" t="s">
        <v>16</v>
      </c>
      <c r="E152" s="80">
        <f>E153</f>
        <v>60000</v>
      </c>
      <c r="F152" s="80">
        <f>F153</f>
        <v>60000</v>
      </c>
      <c r="G152" s="94"/>
    </row>
    <row r="153" spans="1:7" ht="36" outlineLevel="3">
      <c r="A153" s="45" t="s">
        <v>17</v>
      </c>
      <c r="B153" s="46" t="s">
        <v>24</v>
      </c>
      <c r="C153" s="46" t="s">
        <v>295</v>
      </c>
      <c r="D153" s="46" t="s">
        <v>18</v>
      </c>
      <c r="E153" s="80">
        <f>'прил 12'!F156</f>
        <v>60000</v>
      </c>
      <c r="F153" s="80">
        <f>'прил 12'!G156</f>
        <v>60000</v>
      </c>
      <c r="G153" s="94"/>
    </row>
    <row r="154" spans="1:7" ht="18.75" customHeight="1" outlineLevel="3">
      <c r="A154" s="75" t="s">
        <v>592</v>
      </c>
      <c r="B154" s="61" t="s">
        <v>26</v>
      </c>
      <c r="C154" s="61" t="s">
        <v>126</v>
      </c>
      <c r="D154" s="61" t="s">
        <v>6</v>
      </c>
      <c r="E154" s="81">
        <f t="shared" ref="E154:F159" si="3">E155</f>
        <v>1712603</v>
      </c>
      <c r="F154" s="81">
        <f t="shared" si="3"/>
        <v>1722603</v>
      </c>
      <c r="G154" s="109"/>
    </row>
    <row r="155" spans="1:7" ht="21.15" customHeight="1" outlineLevel="3">
      <c r="A155" s="45" t="s">
        <v>593</v>
      </c>
      <c r="B155" s="46" t="s">
        <v>594</v>
      </c>
      <c r="C155" s="46" t="s">
        <v>126</v>
      </c>
      <c r="D155" s="46" t="s">
        <v>6</v>
      </c>
      <c r="E155" s="80">
        <f t="shared" si="3"/>
        <v>1712603</v>
      </c>
      <c r="F155" s="80">
        <f t="shared" si="3"/>
        <v>1722603</v>
      </c>
      <c r="G155" s="94"/>
    </row>
    <row r="156" spans="1:7" outlineLevel="3">
      <c r="A156" s="45" t="s">
        <v>198</v>
      </c>
      <c r="B156" s="46" t="s">
        <v>594</v>
      </c>
      <c r="C156" s="46" t="s">
        <v>127</v>
      </c>
      <c r="D156" s="46" t="s">
        <v>6</v>
      </c>
      <c r="E156" s="80">
        <f t="shared" si="3"/>
        <v>1712603</v>
      </c>
      <c r="F156" s="80">
        <f t="shared" si="3"/>
        <v>1722603</v>
      </c>
      <c r="G156" s="94"/>
    </row>
    <row r="157" spans="1:7" outlineLevel="3">
      <c r="A157" s="45" t="s">
        <v>277</v>
      </c>
      <c r="B157" s="46" t="s">
        <v>594</v>
      </c>
      <c r="C157" s="46" t="s">
        <v>276</v>
      </c>
      <c r="D157" s="46" t="s">
        <v>6</v>
      </c>
      <c r="E157" s="80">
        <f>E158+E161</f>
        <v>1712603</v>
      </c>
      <c r="F157" s="80">
        <f>F158+F161</f>
        <v>1722603</v>
      </c>
      <c r="G157" s="94"/>
    </row>
    <row r="158" spans="1:7" ht="36" outlineLevel="3">
      <c r="A158" s="76" t="s">
        <v>595</v>
      </c>
      <c r="B158" s="46" t="s">
        <v>594</v>
      </c>
      <c r="C158" s="46" t="s">
        <v>596</v>
      </c>
      <c r="D158" s="46" t="s">
        <v>6</v>
      </c>
      <c r="E158" s="80">
        <f t="shared" si="3"/>
        <v>1442603</v>
      </c>
      <c r="F158" s="80">
        <f t="shared" si="3"/>
        <v>1442603</v>
      </c>
      <c r="G158" s="94"/>
    </row>
    <row r="159" spans="1:7" ht="72" outlineLevel="3">
      <c r="A159" s="45" t="s">
        <v>11</v>
      </c>
      <c r="B159" s="46" t="s">
        <v>594</v>
      </c>
      <c r="C159" s="46" t="s">
        <v>596</v>
      </c>
      <c r="D159" s="46" t="s">
        <v>12</v>
      </c>
      <c r="E159" s="80">
        <f t="shared" si="3"/>
        <v>1442603</v>
      </c>
      <c r="F159" s="80">
        <f t="shared" si="3"/>
        <v>1442603</v>
      </c>
      <c r="G159" s="94"/>
    </row>
    <row r="160" spans="1:7" outlineLevel="3">
      <c r="A160" s="45" t="s">
        <v>13</v>
      </c>
      <c r="B160" s="46" t="s">
        <v>594</v>
      </c>
      <c r="C160" s="46" t="s">
        <v>596</v>
      </c>
      <c r="D160" s="46" t="s">
        <v>14</v>
      </c>
      <c r="E160" s="80">
        <f>'прил 12'!F162</f>
        <v>1442603</v>
      </c>
      <c r="F160" s="80">
        <f>'прил 12'!G162</f>
        <v>1442603</v>
      </c>
      <c r="G160" s="94"/>
    </row>
    <row r="161" spans="1:8" ht="36" outlineLevel="3">
      <c r="A161" s="200" t="s">
        <v>737</v>
      </c>
      <c r="B161" s="163" t="s">
        <v>594</v>
      </c>
      <c r="C161" s="163" t="s">
        <v>742</v>
      </c>
      <c r="D161" s="163" t="s">
        <v>6</v>
      </c>
      <c r="E161" s="80">
        <f>E162</f>
        <v>270000</v>
      </c>
      <c r="F161" s="80">
        <f>F162</f>
        <v>280000</v>
      </c>
      <c r="G161" s="94"/>
    </row>
    <row r="162" spans="1:8" ht="72" outlineLevel="3">
      <c r="A162" s="164" t="s">
        <v>11</v>
      </c>
      <c r="B162" s="163" t="s">
        <v>594</v>
      </c>
      <c r="C162" s="163" t="s">
        <v>742</v>
      </c>
      <c r="D162" s="163" t="s">
        <v>12</v>
      </c>
      <c r="E162" s="80">
        <f>E163</f>
        <v>270000</v>
      </c>
      <c r="F162" s="80">
        <f>F163</f>
        <v>280000</v>
      </c>
      <c r="G162" s="94"/>
    </row>
    <row r="163" spans="1:8" outlineLevel="3">
      <c r="A163" s="164" t="s">
        <v>13</v>
      </c>
      <c r="B163" s="163" t="s">
        <v>594</v>
      </c>
      <c r="C163" s="163" t="s">
        <v>742</v>
      </c>
      <c r="D163" s="163" t="s">
        <v>14</v>
      </c>
      <c r="E163" s="80">
        <f>'прил 12'!F166</f>
        <v>270000</v>
      </c>
      <c r="F163" s="80">
        <f>'прил 12'!G166</f>
        <v>280000</v>
      </c>
      <c r="G163" s="94"/>
    </row>
    <row r="164" spans="1:8" ht="37.5" customHeight="1" outlineLevel="1">
      <c r="A164" s="75" t="s">
        <v>41</v>
      </c>
      <c r="B164" s="61" t="s">
        <v>42</v>
      </c>
      <c r="C164" s="61" t="s">
        <v>126</v>
      </c>
      <c r="D164" s="61" t="s">
        <v>6</v>
      </c>
      <c r="E164" s="81">
        <f>E165+E170</f>
        <v>400000</v>
      </c>
      <c r="F164" s="81">
        <f>F165+F170</f>
        <v>400000</v>
      </c>
      <c r="G164" s="95">
        <f>потребность!G690</f>
        <v>440000</v>
      </c>
      <c r="H164" s="95">
        <f>потребность!H690</f>
        <v>1805000</v>
      </c>
    </row>
    <row r="165" spans="1:8" ht="39.15" customHeight="1" outlineLevel="1">
      <c r="A165" s="45" t="s">
        <v>43</v>
      </c>
      <c r="B165" s="46" t="s">
        <v>44</v>
      </c>
      <c r="C165" s="46" t="s">
        <v>126</v>
      </c>
      <c r="D165" s="46" t="s">
        <v>6</v>
      </c>
      <c r="E165" s="80">
        <f t="shared" ref="E165:F168" si="4">E166</f>
        <v>200000</v>
      </c>
      <c r="F165" s="80">
        <f t="shared" si="4"/>
        <v>200000</v>
      </c>
      <c r="G165" s="94"/>
    </row>
    <row r="166" spans="1:8" outlineLevel="1">
      <c r="A166" s="45" t="s">
        <v>198</v>
      </c>
      <c r="B166" s="46" t="s">
        <v>44</v>
      </c>
      <c r="C166" s="46" t="s">
        <v>127</v>
      </c>
      <c r="D166" s="46" t="s">
        <v>6</v>
      </c>
      <c r="E166" s="80">
        <f t="shared" si="4"/>
        <v>200000</v>
      </c>
      <c r="F166" s="80">
        <f t="shared" si="4"/>
        <v>200000</v>
      </c>
      <c r="G166" s="94"/>
    </row>
    <row r="167" spans="1:8" ht="36" outlineLevel="1">
      <c r="A167" s="45" t="s">
        <v>45</v>
      </c>
      <c r="B167" s="46" t="s">
        <v>44</v>
      </c>
      <c r="C167" s="46" t="s">
        <v>133</v>
      </c>
      <c r="D167" s="46" t="s">
        <v>6</v>
      </c>
      <c r="E167" s="80">
        <f t="shared" si="4"/>
        <v>200000</v>
      </c>
      <c r="F167" s="80">
        <f t="shared" si="4"/>
        <v>200000</v>
      </c>
      <c r="G167" s="94"/>
    </row>
    <row r="168" spans="1:8" ht="18" customHeight="1" outlineLevel="4">
      <c r="A168" s="45" t="s">
        <v>15</v>
      </c>
      <c r="B168" s="46" t="s">
        <v>44</v>
      </c>
      <c r="C168" s="46" t="s">
        <v>133</v>
      </c>
      <c r="D168" s="46" t="s">
        <v>16</v>
      </c>
      <c r="E168" s="80">
        <f t="shared" si="4"/>
        <v>200000</v>
      </c>
      <c r="F168" s="80">
        <f t="shared" si="4"/>
        <v>200000</v>
      </c>
      <c r="G168" s="94"/>
    </row>
    <row r="169" spans="1:8" ht="36" outlineLevel="5">
      <c r="A169" s="45" t="s">
        <v>17</v>
      </c>
      <c r="B169" s="46" t="s">
        <v>44</v>
      </c>
      <c r="C169" s="46" t="s">
        <v>133</v>
      </c>
      <c r="D169" s="46" t="s">
        <v>18</v>
      </c>
      <c r="E169" s="80">
        <f>'прил 12'!F172</f>
        <v>200000</v>
      </c>
      <c r="F169" s="80">
        <f>'прил 12'!G172</f>
        <v>200000</v>
      </c>
      <c r="G169" s="94"/>
    </row>
    <row r="170" spans="1:8" outlineLevel="5">
      <c r="A170" s="45" t="s">
        <v>508</v>
      </c>
      <c r="B170" s="46" t="s">
        <v>509</v>
      </c>
      <c r="C170" s="46" t="s">
        <v>126</v>
      </c>
      <c r="D170" s="46" t="s">
        <v>6</v>
      </c>
      <c r="E170" s="80">
        <f t="shared" ref="E170:F173" si="5">E171</f>
        <v>200000</v>
      </c>
      <c r="F170" s="80">
        <f t="shared" si="5"/>
        <v>200000</v>
      </c>
      <c r="G170" s="94"/>
    </row>
    <row r="171" spans="1:8" ht="20.25" customHeight="1" outlineLevel="5">
      <c r="A171" s="45" t="s">
        <v>132</v>
      </c>
      <c r="B171" s="46" t="s">
        <v>509</v>
      </c>
      <c r="C171" s="46" t="s">
        <v>127</v>
      </c>
      <c r="D171" s="46" t="s">
        <v>6</v>
      </c>
      <c r="E171" s="80">
        <f t="shared" si="5"/>
        <v>200000</v>
      </c>
      <c r="F171" s="80">
        <f t="shared" si="5"/>
        <v>200000</v>
      </c>
      <c r="G171" s="94"/>
    </row>
    <row r="172" spans="1:8" ht="36" outlineLevel="5">
      <c r="A172" s="45" t="s">
        <v>510</v>
      </c>
      <c r="B172" s="46" t="s">
        <v>509</v>
      </c>
      <c r="C172" s="46" t="s">
        <v>696</v>
      </c>
      <c r="D172" s="46" t="s">
        <v>6</v>
      </c>
      <c r="E172" s="80">
        <f t="shared" si="5"/>
        <v>200000</v>
      </c>
      <c r="F172" s="80">
        <f t="shared" si="5"/>
        <v>200000</v>
      </c>
      <c r="G172" s="94"/>
    </row>
    <row r="173" spans="1:8" ht="36" outlineLevel="5">
      <c r="A173" s="45" t="s">
        <v>15</v>
      </c>
      <c r="B173" s="46" t="s">
        <v>509</v>
      </c>
      <c r="C173" s="46" t="s">
        <v>696</v>
      </c>
      <c r="D173" s="46" t="s">
        <v>16</v>
      </c>
      <c r="E173" s="80">
        <f t="shared" si="5"/>
        <v>200000</v>
      </c>
      <c r="F173" s="80">
        <f t="shared" si="5"/>
        <v>200000</v>
      </c>
      <c r="G173" s="94"/>
    </row>
    <row r="174" spans="1:8" ht="36" outlineLevel="5">
      <c r="A174" s="45" t="s">
        <v>17</v>
      </c>
      <c r="B174" s="46" t="s">
        <v>509</v>
      </c>
      <c r="C174" s="46" t="s">
        <v>696</v>
      </c>
      <c r="D174" s="46" t="s">
        <v>18</v>
      </c>
      <c r="E174" s="80">
        <f>'прил 12'!F177</f>
        <v>200000</v>
      </c>
      <c r="F174" s="80">
        <f>'прил 12'!G177</f>
        <v>200000</v>
      </c>
      <c r="G174" s="94"/>
    </row>
    <row r="175" spans="1:8" outlineLevel="6">
      <c r="A175" s="75" t="s">
        <v>119</v>
      </c>
      <c r="B175" s="61" t="s">
        <v>46</v>
      </c>
      <c r="C175" s="61" t="s">
        <v>126</v>
      </c>
      <c r="D175" s="61" t="s">
        <v>6</v>
      </c>
      <c r="E175" s="81">
        <f>E176+E182+E193+E202</f>
        <v>14114514.17</v>
      </c>
      <c r="F175" s="81">
        <f>F176+F182+F193+F202</f>
        <v>18123514.170000002</v>
      </c>
      <c r="G175" s="95">
        <f>потребность!G691</f>
        <v>12961514.17</v>
      </c>
      <c r="H175" s="95">
        <f>потребность!H691</f>
        <v>16011114.17</v>
      </c>
    </row>
    <row r="176" spans="1:8" s="3" customFormat="1">
      <c r="A176" s="45" t="s">
        <v>121</v>
      </c>
      <c r="B176" s="46" t="s">
        <v>122</v>
      </c>
      <c r="C176" s="46" t="s">
        <v>126</v>
      </c>
      <c r="D176" s="46" t="s">
        <v>6</v>
      </c>
      <c r="E176" s="80">
        <f t="shared" ref="E176:F180" si="6">E177</f>
        <v>324127.09000000003</v>
      </c>
      <c r="F176" s="80">
        <f t="shared" si="6"/>
        <v>324127.09000000003</v>
      </c>
      <c r="G176" s="95"/>
    </row>
    <row r="177" spans="1:7" s="3" customFormat="1">
      <c r="A177" s="45" t="s">
        <v>198</v>
      </c>
      <c r="B177" s="46" t="s">
        <v>122</v>
      </c>
      <c r="C177" s="46" t="s">
        <v>127</v>
      </c>
      <c r="D177" s="46" t="s">
        <v>6</v>
      </c>
      <c r="E177" s="80">
        <f t="shared" si="6"/>
        <v>324127.09000000003</v>
      </c>
      <c r="F177" s="80">
        <f t="shared" si="6"/>
        <v>324127.09000000003</v>
      </c>
      <c r="G177" s="95"/>
    </row>
    <row r="178" spans="1:7" s="3" customFormat="1" ht="21.75" customHeight="1">
      <c r="A178" s="45" t="s">
        <v>277</v>
      </c>
      <c r="B178" s="46" t="s">
        <v>122</v>
      </c>
      <c r="C178" s="46" t="s">
        <v>276</v>
      </c>
      <c r="D178" s="46" t="s">
        <v>6</v>
      </c>
      <c r="E178" s="80">
        <f t="shared" si="6"/>
        <v>324127.09000000003</v>
      </c>
      <c r="F178" s="80">
        <f t="shared" si="6"/>
        <v>324127.09000000003</v>
      </c>
      <c r="G178" s="95"/>
    </row>
    <row r="179" spans="1:7" s="3" customFormat="1" ht="75.75" customHeight="1">
      <c r="A179" s="48" t="s">
        <v>383</v>
      </c>
      <c r="B179" s="46" t="s">
        <v>122</v>
      </c>
      <c r="C179" s="46" t="s">
        <v>286</v>
      </c>
      <c r="D179" s="46" t="s">
        <v>6</v>
      </c>
      <c r="E179" s="80">
        <f t="shared" si="6"/>
        <v>324127.09000000003</v>
      </c>
      <c r="F179" s="80">
        <f t="shared" si="6"/>
        <v>324127.09000000003</v>
      </c>
      <c r="G179" s="95"/>
    </row>
    <row r="180" spans="1:7" s="3" customFormat="1" ht="18.75" customHeight="1">
      <c r="A180" s="45" t="s">
        <v>15</v>
      </c>
      <c r="B180" s="46" t="s">
        <v>122</v>
      </c>
      <c r="C180" s="46" t="s">
        <v>286</v>
      </c>
      <c r="D180" s="46" t="s">
        <v>16</v>
      </c>
      <c r="E180" s="80">
        <f t="shared" si="6"/>
        <v>324127.09000000003</v>
      </c>
      <c r="F180" s="80">
        <f t="shared" si="6"/>
        <v>324127.09000000003</v>
      </c>
      <c r="G180" s="95"/>
    </row>
    <row r="181" spans="1:7" s="3" customFormat="1" ht="36">
      <c r="A181" s="45" t="s">
        <v>17</v>
      </c>
      <c r="B181" s="46" t="s">
        <v>122</v>
      </c>
      <c r="C181" s="46" t="s">
        <v>286</v>
      </c>
      <c r="D181" s="46" t="s">
        <v>18</v>
      </c>
      <c r="E181" s="80">
        <f>'прил 12'!F184</f>
        <v>324127.09000000003</v>
      </c>
      <c r="F181" s="80">
        <f>'прил 12'!G184</f>
        <v>324127.09000000003</v>
      </c>
      <c r="G181" s="95"/>
    </row>
    <row r="182" spans="1:7" s="3" customFormat="1">
      <c r="A182" s="45" t="s">
        <v>290</v>
      </c>
      <c r="B182" s="46" t="s">
        <v>291</v>
      </c>
      <c r="C182" s="46" t="s">
        <v>126</v>
      </c>
      <c r="D182" s="46" t="s">
        <v>6</v>
      </c>
      <c r="E182" s="80">
        <f>E183+E188</f>
        <v>103387.08</v>
      </c>
      <c r="F182" s="80">
        <f>F183+F188</f>
        <v>103387.08</v>
      </c>
      <c r="G182" s="95"/>
    </row>
    <row r="183" spans="1:7" s="3" customFormat="1" ht="18" customHeight="1">
      <c r="A183" s="45" t="s">
        <v>132</v>
      </c>
      <c r="B183" s="46" t="s">
        <v>291</v>
      </c>
      <c r="C183" s="46" t="s">
        <v>127</v>
      </c>
      <c r="D183" s="46" t="s">
        <v>6</v>
      </c>
      <c r="E183" s="80">
        <f t="shared" ref="E183:F186" si="7">E184</f>
        <v>3387.08</v>
      </c>
      <c r="F183" s="80">
        <f t="shared" si="7"/>
        <v>3387.08</v>
      </c>
      <c r="G183" s="95"/>
    </row>
    <row r="184" spans="1:7" s="3" customFormat="1" ht="21.15" customHeight="1">
      <c r="A184" s="45" t="s">
        <v>277</v>
      </c>
      <c r="B184" s="46" t="s">
        <v>291</v>
      </c>
      <c r="C184" s="46" t="s">
        <v>276</v>
      </c>
      <c r="D184" s="46" t="s">
        <v>6</v>
      </c>
      <c r="E184" s="80">
        <f t="shared" si="7"/>
        <v>3387.08</v>
      </c>
      <c r="F184" s="80">
        <f t="shared" si="7"/>
        <v>3387.08</v>
      </c>
      <c r="G184" s="95"/>
    </row>
    <row r="185" spans="1:7" s="3" customFormat="1" ht="93.15" customHeight="1">
      <c r="A185" s="28" t="s">
        <v>385</v>
      </c>
      <c r="B185" s="46" t="s">
        <v>291</v>
      </c>
      <c r="C185" s="46" t="s">
        <v>384</v>
      </c>
      <c r="D185" s="46" t="s">
        <v>6</v>
      </c>
      <c r="E185" s="80">
        <f t="shared" si="7"/>
        <v>3387.08</v>
      </c>
      <c r="F185" s="80">
        <f t="shared" si="7"/>
        <v>3387.08</v>
      </c>
      <c r="G185" s="95"/>
    </row>
    <row r="186" spans="1:7" s="3" customFormat="1" ht="18.75" customHeight="1">
      <c r="A186" s="45" t="s">
        <v>15</v>
      </c>
      <c r="B186" s="46" t="s">
        <v>291</v>
      </c>
      <c r="C186" s="46" t="s">
        <v>384</v>
      </c>
      <c r="D186" s="46" t="s">
        <v>16</v>
      </c>
      <c r="E186" s="80">
        <f t="shared" si="7"/>
        <v>3387.08</v>
      </c>
      <c r="F186" s="80">
        <f t="shared" si="7"/>
        <v>3387.08</v>
      </c>
      <c r="G186" s="95"/>
    </row>
    <row r="187" spans="1:7" s="3" customFormat="1" ht="36">
      <c r="A187" s="45" t="s">
        <v>17</v>
      </c>
      <c r="B187" s="46" t="s">
        <v>291</v>
      </c>
      <c r="C187" s="46" t="s">
        <v>384</v>
      </c>
      <c r="D187" s="46" t="s">
        <v>18</v>
      </c>
      <c r="E187" s="80">
        <f>'прил 12'!F190</f>
        <v>3387.08</v>
      </c>
      <c r="F187" s="80">
        <f>'прил 12'!G190</f>
        <v>3387.08</v>
      </c>
      <c r="G187" s="95"/>
    </row>
    <row r="188" spans="1:7" s="3" customFormat="1" ht="54">
      <c r="A188" s="239" t="s">
        <v>849</v>
      </c>
      <c r="B188" s="163" t="s">
        <v>291</v>
      </c>
      <c r="C188" s="163" t="s">
        <v>320</v>
      </c>
      <c r="D188" s="169" t="s">
        <v>6</v>
      </c>
      <c r="E188" s="80">
        <f t="shared" ref="E188:F191" si="8">E189</f>
        <v>100000</v>
      </c>
      <c r="F188" s="80">
        <f t="shared" si="8"/>
        <v>100000</v>
      </c>
      <c r="G188" s="95"/>
    </row>
    <row r="189" spans="1:7" s="3" customFormat="1" ht="36">
      <c r="A189" s="238" t="s">
        <v>831</v>
      </c>
      <c r="B189" s="163" t="s">
        <v>291</v>
      </c>
      <c r="C189" s="163" t="s">
        <v>832</v>
      </c>
      <c r="D189" s="169" t="s">
        <v>6</v>
      </c>
      <c r="E189" s="80">
        <f t="shared" si="8"/>
        <v>100000</v>
      </c>
      <c r="F189" s="80">
        <f t="shared" si="8"/>
        <v>100000</v>
      </c>
      <c r="G189" s="95"/>
    </row>
    <row r="190" spans="1:7" s="3" customFormat="1" ht="72">
      <c r="A190" s="231" t="s">
        <v>834</v>
      </c>
      <c r="B190" s="163" t="s">
        <v>291</v>
      </c>
      <c r="C190" s="163" t="s">
        <v>833</v>
      </c>
      <c r="D190" s="169" t="s">
        <v>6</v>
      </c>
      <c r="E190" s="80">
        <f t="shared" si="8"/>
        <v>100000</v>
      </c>
      <c r="F190" s="80">
        <f t="shared" si="8"/>
        <v>100000</v>
      </c>
      <c r="G190" s="95"/>
    </row>
    <row r="191" spans="1:7" s="3" customFormat="1" ht="36">
      <c r="A191" s="230" t="s">
        <v>793</v>
      </c>
      <c r="B191" s="163" t="s">
        <v>291</v>
      </c>
      <c r="C191" s="163" t="s">
        <v>833</v>
      </c>
      <c r="D191" s="169" t="s">
        <v>20</v>
      </c>
      <c r="E191" s="80">
        <f t="shared" si="8"/>
        <v>100000</v>
      </c>
      <c r="F191" s="80">
        <f t="shared" si="8"/>
        <v>100000</v>
      </c>
      <c r="G191" s="95"/>
    </row>
    <row r="192" spans="1:7" s="3" customFormat="1" ht="36">
      <c r="A192" s="164" t="s">
        <v>47</v>
      </c>
      <c r="B192" s="163" t="s">
        <v>291</v>
      </c>
      <c r="C192" s="163" t="s">
        <v>833</v>
      </c>
      <c r="D192" s="169" t="s">
        <v>48</v>
      </c>
      <c r="E192" s="80">
        <f>'прил 12'!F195</f>
        <v>100000</v>
      </c>
      <c r="F192" s="80">
        <f>'прил 12'!G195</f>
        <v>100000</v>
      </c>
      <c r="G192" s="95"/>
    </row>
    <row r="193" spans="1:7" s="3" customFormat="1">
      <c r="A193" s="45" t="s">
        <v>49</v>
      </c>
      <c r="B193" s="46" t="s">
        <v>50</v>
      </c>
      <c r="C193" s="46" t="s">
        <v>126</v>
      </c>
      <c r="D193" s="46" t="s">
        <v>6</v>
      </c>
      <c r="E193" s="80">
        <f>E194</f>
        <v>13157000</v>
      </c>
      <c r="F193" s="80">
        <f>F194</f>
        <v>14166000</v>
      </c>
      <c r="G193" s="94"/>
    </row>
    <row r="194" spans="1:7" s="3" customFormat="1" ht="57.75" customHeight="1">
      <c r="A194" s="75" t="s">
        <v>879</v>
      </c>
      <c r="B194" s="61" t="s">
        <v>50</v>
      </c>
      <c r="C194" s="61" t="s">
        <v>335</v>
      </c>
      <c r="D194" s="61" t="s">
        <v>6</v>
      </c>
      <c r="E194" s="80">
        <f>E195</f>
        <v>13157000</v>
      </c>
      <c r="F194" s="80">
        <f>F195</f>
        <v>14166000</v>
      </c>
      <c r="G194" s="94"/>
    </row>
    <row r="195" spans="1:7" s="3" customFormat="1" ht="36">
      <c r="A195" s="45" t="s">
        <v>336</v>
      </c>
      <c r="B195" s="46" t="s">
        <v>50</v>
      </c>
      <c r="C195" s="46" t="s">
        <v>337</v>
      </c>
      <c r="D195" s="46" t="s">
        <v>6</v>
      </c>
      <c r="E195" s="80">
        <f>E196+E199</f>
        <v>13157000</v>
      </c>
      <c r="F195" s="80">
        <f>F196+F199</f>
        <v>14166000</v>
      </c>
      <c r="G195" s="94"/>
    </row>
    <row r="196" spans="1:7" s="3" customFormat="1" ht="54">
      <c r="A196" s="78" t="s">
        <v>338</v>
      </c>
      <c r="B196" s="46" t="s">
        <v>50</v>
      </c>
      <c r="C196" s="46" t="s">
        <v>339</v>
      </c>
      <c r="D196" s="46" t="s">
        <v>6</v>
      </c>
      <c r="E196" s="80">
        <f>E197</f>
        <v>13057000</v>
      </c>
      <c r="F196" s="80">
        <f>F197</f>
        <v>14066000</v>
      </c>
      <c r="G196" s="94"/>
    </row>
    <row r="197" spans="1:7" s="3" customFormat="1" ht="18" customHeight="1">
      <c r="A197" s="45" t="s">
        <v>15</v>
      </c>
      <c r="B197" s="46" t="s">
        <v>50</v>
      </c>
      <c r="C197" s="46" t="s">
        <v>339</v>
      </c>
      <c r="D197" s="46" t="s">
        <v>16</v>
      </c>
      <c r="E197" s="80">
        <f>E198</f>
        <v>13057000</v>
      </c>
      <c r="F197" s="80">
        <f>F198</f>
        <v>14066000</v>
      </c>
      <c r="G197" s="94"/>
    </row>
    <row r="198" spans="1:7" s="3" customFormat="1" ht="36">
      <c r="A198" s="45" t="s">
        <v>17</v>
      </c>
      <c r="B198" s="46" t="s">
        <v>50</v>
      </c>
      <c r="C198" s="46" t="s">
        <v>339</v>
      </c>
      <c r="D198" s="46" t="s">
        <v>18</v>
      </c>
      <c r="E198" s="80">
        <f>'прил 12'!F201</f>
        <v>13057000</v>
      </c>
      <c r="F198" s="80">
        <f>'прил 12'!G201</f>
        <v>14066000</v>
      </c>
      <c r="G198" s="94"/>
    </row>
    <row r="199" spans="1:7" s="3" customFormat="1" ht="39.15" customHeight="1">
      <c r="A199" s="45" t="s">
        <v>280</v>
      </c>
      <c r="B199" s="46" t="s">
        <v>50</v>
      </c>
      <c r="C199" s="46" t="s">
        <v>409</v>
      </c>
      <c r="D199" s="46" t="s">
        <v>6</v>
      </c>
      <c r="E199" s="80">
        <f>E200</f>
        <v>100000</v>
      </c>
      <c r="F199" s="80">
        <f>F200</f>
        <v>100000</v>
      </c>
      <c r="G199" s="94"/>
    </row>
    <row r="200" spans="1:7" s="3" customFormat="1" ht="18" customHeight="1">
      <c r="A200" s="45" t="s">
        <v>15</v>
      </c>
      <c r="B200" s="46" t="s">
        <v>50</v>
      </c>
      <c r="C200" s="46" t="s">
        <v>409</v>
      </c>
      <c r="D200" s="46" t="s">
        <v>16</v>
      </c>
      <c r="E200" s="80">
        <f>E201</f>
        <v>100000</v>
      </c>
      <c r="F200" s="80">
        <f>F201</f>
        <v>100000</v>
      </c>
      <c r="G200" s="94"/>
    </row>
    <row r="201" spans="1:7" s="3" customFormat="1" ht="39.15" customHeight="1">
      <c r="A201" s="45" t="s">
        <v>17</v>
      </c>
      <c r="B201" s="46" t="s">
        <v>50</v>
      </c>
      <c r="C201" s="46" t="s">
        <v>409</v>
      </c>
      <c r="D201" s="46" t="s">
        <v>18</v>
      </c>
      <c r="E201" s="80">
        <v>100000</v>
      </c>
      <c r="F201" s="80">
        <v>100000</v>
      </c>
      <c r="G201" s="94"/>
    </row>
    <row r="202" spans="1:7" s="3" customFormat="1">
      <c r="A202" s="45" t="s">
        <v>52</v>
      </c>
      <c r="B202" s="46" t="s">
        <v>53</v>
      </c>
      <c r="C202" s="46" t="s">
        <v>126</v>
      </c>
      <c r="D202" s="46" t="s">
        <v>6</v>
      </c>
      <c r="E202" s="80">
        <f>E208+E203</f>
        <v>530000</v>
      </c>
      <c r="F202" s="80">
        <f>F208+F203</f>
        <v>3530000</v>
      </c>
      <c r="G202" s="94"/>
    </row>
    <row r="203" spans="1:7" s="3" customFormat="1" ht="54">
      <c r="A203" s="75" t="s">
        <v>878</v>
      </c>
      <c r="B203" s="61" t="s">
        <v>53</v>
      </c>
      <c r="C203" s="61" t="s">
        <v>412</v>
      </c>
      <c r="D203" s="61" t="s">
        <v>6</v>
      </c>
      <c r="E203" s="80">
        <f t="shared" ref="E203:F206" si="9">E204</f>
        <v>100000</v>
      </c>
      <c r="F203" s="80">
        <f t="shared" si="9"/>
        <v>100000</v>
      </c>
      <c r="G203" s="94"/>
    </row>
    <row r="204" spans="1:7" s="3" customFormat="1" ht="36">
      <c r="A204" s="45" t="s">
        <v>801</v>
      </c>
      <c r="B204" s="46" t="s">
        <v>53</v>
      </c>
      <c r="C204" s="46" t="s">
        <v>414</v>
      </c>
      <c r="D204" s="46" t="s">
        <v>6</v>
      </c>
      <c r="E204" s="80">
        <f t="shared" si="9"/>
        <v>100000</v>
      </c>
      <c r="F204" s="80">
        <f t="shared" si="9"/>
        <v>100000</v>
      </c>
      <c r="G204" s="94"/>
    </row>
    <row r="205" spans="1:7" s="3" customFormat="1" ht="72">
      <c r="A205" s="45" t="s">
        <v>802</v>
      </c>
      <c r="B205" s="46" t="s">
        <v>53</v>
      </c>
      <c r="C205" s="46" t="s">
        <v>803</v>
      </c>
      <c r="D205" s="46" t="s">
        <v>6</v>
      </c>
      <c r="E205" s="80">
        <f t="shared" si="9"/>
        <v>100000</v>
      </c>
      <c r="F205" s="80">
        <f t="shared" si="9"/>
        <v>100000</v>
      </c>
      <c r="G205" s="94"/>
    </row>
    <row r="206" spans="1:7" s="3" customFormat="1">
      <c r="A206" s="164" t="s">
        <v>19</v>
      </c>
      <c r="B206" s="46" t="s">
        <v>53</v>
      </c>
      <c r="C206" s="46" t="s">
        <v>803</v>
      </c>
      <c r="D206" s="46" t="s">
        <v>20</v>
      </c>
      <c r="E206" s="80">
        <f t="shared" si="9"/>
        <v>100000</v>
      </c>
      <c r="F206" s="80">
        <f t="shared" si="9"/>
        <v>100000</v>
      </c>
      <c r="G206" s="94"/>
    </row>
    <row r="207" spans="1:7" s="3" customFormat="1" ht="36">
      <c r="A207" s="164" t="s">
        <v>47</v>
      </c>
      <c r="B207" s="46" t="s">
        <v>53</v>
      </c>
      <c r="C207" s="46" t="s">
        <v>803</v>
      </c>
      <c r="D207" s="46" t="s">
        <v>48</v>
      </c>
      <c r="E207" s="80">
        <f>'прил 12'!F213</f>
        <v>100000</v>
      </c>
      <c r="F207" s="80">
        <f>'прил 12'!G213</f>
        <v>100000</v>
      </c>
      <c r="G207" s="94"/>
    </row>
    <row r="208" spans="1:7" s="3" customFormat="1" ht="59.25" customHeight="1">
      <c r="A208" s="75" t="s">
        <v>877</v>
      </c>
      <c r="B208" s="61" t="s">
        <v>53</v>
      </c>
      <c r="C208" s="61" t="s">
        <v>340</v>
      </c>
      <c r="D208" s="61" t="s">
        <v>6</v>
      </c>
      <c r="E208" s="80">
        <f>E209+E213</f>
        <v>430000</v>
      </c>
      <c r="F208" s="80">
        <f>F209+F213</f>
        <v>3430000</v>
      </c>
      <c r="G208" s="94"/>
    </row>
    <row r="209" spans="1:8" s="3" customFormat="1" ht="18" customHeight="1">
      <c r="A209" s="45" t="s">
        <v>386</v>
      </c>
      <c r="B209" s="46" t="s">
        <v>53</v>
      </c>
      <c r="C209" s="46" t="s">
        <v>341</v>
      </c>
      <c r="D209" s="46" t="s">
        <v>6</v>
      </c>
      <c r="E209" s="80">
        <f t="shared" ref="E209:F211" si="10">E210</f>
        <v>300000</v>
      </c>
      <c r="F209" s="80">
        <f t="shared" si="10"/>
        <v>3300000</v>
      </c>
      <c r="G209" s="94"/>
    </row>
    <row r="210" spans="1:8" s="3" customFormat="1">
      <c r="A210" s="45" t="s">
        <v>342</v>
      </c>
      <c r="B210" s="46" t="s">
        <v>53</v>
      </c>
      <c r="C210" s="46" t="s">
        <v>343</v>
      </c>
      <c r="D210" s="46" t="s">
        <v>6</v>
      </c>
      <c r="E210" s="80">
        <f t="shared" si="10"/>
        <v>300000</v>
      </c>
      <c r="F210" s="80">
        <f t="shared" si="10"/>
        <v>3300000</v>
      </c>
      <c r="G210" s="94"/>
    </row>
    <row r="211" spans="1:8" s="3" customFormat="1" ht="18" customHeight="1">
      <c r="A211" s="45" t="s">
        <v>15</v>
      </c>
      <c r="B211" s="46" t="s">
        <v>53</v>
      </c>
      <c r="C211" s="46" t="s">
        <v>343</v>
      </c>
      <c r="D211" s="46" t="s">
        <v>16</v>
      </c>
      <c r="E211" s="80">
        <f t="shared" si="10"/>
        <v>300000</v>
      </c>
      <c r="F211" s="80">
        <f t="shared" si="10"/>
        <v>3300000</v>
      </c>
      <c r="G211" s="94"/>
    </row>
    <row r="212" spans="1:8" s="3" customFormat="1" ht="36">
      <c r="A212" s="45" t="s">
        <v>17</v>
      </c>
      <c r="B212" s="46" t="s">
        <v>53</v>
      </c>
      <c r="C212" s="46" t="s">
        <v>343</v>
      </c>
      <c r="D212" s="46" t="s">
        <v>18</v>
      </c>
      <c r="E212" s="80">
        <f>'прил 12'!F218</f>
        <v>300000</v>
      </c>
      <c r="F212" s="80">
        <f>'прил 12'!G218</f>
        <v>3300000</v>
      </c>
      <c r="G212" s="94"/>
    </row>
    <row r="213" spans="1:8" s="3" customFormat="1" ht="36">
      <c r="A213" s="48" t="s">
        <v>388</v>
      </c>
      <c r="B213" s="46" t="s">
        <v>53</v>
      </c>
      <c r="C213" s="46" t="s">
        <v>387</v>
      </c>
      <c r="D213" s="46" t="s">
        <v>6</v>
      </c>
      <c r="E213" s="80">
        <f t="shared" ref="E213:F215" si="11">E214</f>
        <v>130000</v>
      </c>
      <c r="F213" s="80">
        <f t="shared" si="11"/>
        <v>130000</v>
      </c>
      <c r="G213" s="94"/>
    </row>
    <row r="214" spans="1:8" s="3" customFormat="1">
      <c r="A214" s="45" t="s">
        <v>344</v>
      </c>
      <c r="B214" s="46" t="s">
        <v>53</v>
      </c>
      <c r="C214" s="46" t="s">
        <v>417</v>
      </c>
      <c r="D214" s="46" t="s">
        <v>6</v>
      </c>
      <c r="E214" s="80">
        <f t="shared" si="11"/>
        <v>130000</v>
      </c>
      <c r="F214" s="80">
        <f t="shared" si="11"/>
        <v>130000</v>
      </c>
      <c r="G214" s="94"/>
    </row>
    <row r="215" spans="1:8" s="3" customFormat="1" ht="18" customHeight="1">
      <c r="A215" s="45" t="s">
        <v>15</v>
      </c>
      <c r="B215" s="46" t="s">
        <v>53</v>
      </c>
      <c r="C215" s="46" t="s">
        <v>417</v>
      </c>
      <c r="D215" s="46" t="s">
        <v>16</v>
      </c>
      <c r="E215" s="80">
        <f t="shared" si="11"/>
        <v>130000</v>
      </c>
      <c r="F215" s="80">
        <f t="shared" si="11"/>
        <v>130000</v>
      </c>
      <c r="G215" s="94"/>
    </row>
    <row r="216" spans="1:8" s="3" customFormat="1" ht="36">
      <c r="A216" s="45" t="s">
        <v>17</v>
      </c>
      <c r="B216" s="46" t="s">
        <v>53</v>
      </c>
      <c r="C216" s="46" t="s">
        <v>417</v>
      </c>
      <c r="D216" s="46" t="s">
        <v>18</v>
      </c>
      <c r="E216" s="80">
        <f>'прил 12'!F222</f>
        <v>130000</v>
      </c>
      <c r="F216" s="80">
        <f>'прил 12'!G222</f>
        <v>130000</v>
      </c>
      <c r="G216" s="94"/>
    </row>
    <row r="217" spans="1:8" outlineLevel="1">
      <c r="A217" s="75" t="s">
        <v>54</v>
      </c>
      <c r="B217" s="61" t="s">
        <v>55</v>
      </c>
      <c r="C217" s="61" t="s">
        <v>126</v>
      </c>
      <c r="D217" s="61" t="s">
        <v>6</v>
      </c>
      <c r="E217" s="81">
        <f>E218+E229+E251+E285</f>
        <v>48574076.269999996</v>
      </c>
      <c r="F217" s="81">
        <f>F218+F229+F251+F285</f>
        <v>42109227.806999996</v>
      </c>
      <c r="G217" s="95">
        <f>потребность!G692</f>
        <v>30324715.140000001</v>
      </c>
      <c r="H217" s="95">
        <f>потребность!H692</f>
        <v>47118494.18</v>
      </c>
    </row>
    <row r="218" spans="1:8" ht="19.5" customHeight="1" outlineLevel="2">
      <c r="A218" s="45" t="s">
        <v>56</v>
      </c>
      <c r="B218" s="46" t="s">
        <v>57</v>
      </c>
      <c r="C218" s="46" t="s">
        <v>126</v>
      </c>
      <c r="D218" s="46" t="s">
        <v>6</v>
      </c>
      <c r="E218" s="80">
        <f>E219+E224</f>
        <v>2500000</v>
      </c>
      <c r="F218" s="80">
        <f>F219+F224</f>
        <v>2500000</v>
      </c>
      <c r="G218" s="95"/>
    </row>
    <row r="219" spans="1:8" ht="38.25" customHeight="1" outlineLevel="2">
      <c r="A219" s="75" t="s">
        <v>876</v>
      </c>
      <c r="B219" s="61" t="s">
        <v>57</v>
      </c>
      <c r="C219" s="61" t="s">
        <v>331</v>
      </c>
      <c r="D219" s="61" t="s">
        <v>6</v>
      </c>
      <c r="E219" s="80">
        <f t="shared" ref="E219:F222" si="12">E220</f>
        <v>2500000</v>
      </c>
      <c r="F219" s="80">
        <f t="shared" si="12"/>
        <v>2500000</v>
      </c>
      <c r="G219" s="95"/>
    </row>
    <row r="220" spans="1:8" ht="36" outlineLevel="2">
      <c r="A220" s="45" t="s">
        <v>345</v>
      </c>
      <c r="B220" s="46" t="s">
        <v>57</v>
      </c>
      <c r="C220" s="46" t="s">
        <v>332</v>
      </c>
      <c r="D220" s="46" t="s">
        <v>6</v>
      </c>
      <c r="E220" s="80">
        <f t="shared" si="12"/>
        <v>2500000</v>
      </c>
      <c r="F220" s="80">
        <f t="shared" si="12"/>
        <v>2500000</v>
      </c>
      <c r="G220" s="95"/>
    </row>
    <row r="221" spans="1:8" ht="18.75" customHeight="1" outlineLevel="2">
      <c r="A221" s="45" t="s">
        <v>346</v>
      </c>
      <c r="B221" s="46" t="s">
        <v>57</v>
      </c>
      <c r="C221" s="46" t="s">
        <v>347</v>
      </c>
      <c r="D221" s="46" t="s">
        <v>6</v>
      </c>
      <c r="E221" s="80">
        <f t="shared" si="12"/>
        <v>2500000</v>
      </c>
      <c r="F221" s="80">
        <f t="shared" si="12"/>
        <v>2500000</v>
      </c>
      <c r="G221" s="95"/>
    </row>
    <row r="222" spans="1:8" ht="18" customHeight="1" outlineLevel="2">
      <c r="A222" s="45" t="s">
        <v>15</v>
      </c>
      <c r="B222" s="46" t="s">
        <v>57</v>
      </c>
      <c r="C222" s="46" t="s">
        <v>347</v>
      </c>
      <c r="D222" s="46" t="s">
        <v>16</v>
      </c>
      <c r="E222" s="80">
        <f t="shared" si="12"/>
        <v>2500000</v>
      </c>
      <c r="F222" s="80">
        <f t="shared" si="12"/>
        <v>2500000</v>
      </c>
      <c r="G222" s="95"/>
    </row>
    <row r="223" spans="1:8" ht="33.75" customHeight="1" outlineLevel="4">
      <c r="A223" s="45" t="s">
        <v>17</v>
      </c>
      <c r="B223" s="46" t="s">
        <v>57</v>
      </c>
      <c r="C223" s="46" t="s">
        <v>347</v>
      </c>
      <c r="D223" s="46" t="s">
        <v>18</v>
      </c>
      <c r="E223" s="80">
        <f>'прил 12'!F229</f>
        <v>2500000</v>
      </c>
      <c r="F223" s="80">
        <f>'прил 12'!G229</f>
        <v>2500000</v>
      </c>
      <c r="G223" s="95"/>
    </row>
    <row r="224" spans="1:8" ht="0.75" hidden="1" customHeight="1" outlineLevel="4">
      <c r="A224" s="45" t="s">
        <v>132</v>
      </c>
      <c r="B224" s="46" t="s">
        <v>57</v>
      </c>
      <c r="C224" s="46" t="s">
        <v>127</v>
      </c>
      <c r="D224" s="46" t="s">
        <v>6</v>
      </c>
      <c r="E224" s="80">
        <f t="shared" ref="E224:F227" si="13">E225</f>
        <v>0</v>
      </c>
      <c r="F224" s="80">
        <f t="shared" si="13"/>
        <v>0</v>
      </c>
      <c r="G224" s="95"/>
    </row>
    <row r="225" spans="1:7" hidden="1" outlineLevel="4">
      <c r="A225" s="45" t="s">
        <v>277</v>
      </c>
      <c r="B225" s="46" t="s">
        <v>57</v>
      </c>
      <c r="C225" s="46" t="s">
        <v>276</v>
      </c>
      <c r="D225" s="46" t="s">
        <v>6</v>
      </c>
      <c r="E225" s="80">
        <f t="shared" si="13"/>
        <v>0</v>
      </c>
      <c r="F225" s="80">
        <f t="shared" si="13"/>
        <v>0</v>
      </c>
      <c r="G225" s="95"/>
    </row>
    <row r="226" spans="1:7" ht="54" hidden="1" outlineLevel="4">
      <c r="A226" s="28" t="s">
        <v>381</v>
      </c>
      <c r="B226" s="46" t="s">
        <v>57</v>
      </c>
      <c r="C226" s="46" t="s">
        <v>511</v>
      </c>
      <c r="D226" s="46" t="s">
        <v>6</v>
      </c>
      <c r="E226" s="80">
        <f t="shared" si="13"/>
        <v>0</v>
      </c>
      <c r="F226" s="80">
        <f t="shared" si="13"/>
        <v>0</v>
      </c>
      <c r="G226" s="95"/>
    </row>
    <row r="227" spans="1:7" ht="36" hidden="1" outlineLevel="4">
      <c r="A227" s="45" t="s">
        <v>15</v>
      </c>
      <c r="B227" s="46" t="s">
        <v>57</v>
      </c>
      <c r="C227" s="46" t="s">
        <v>511</v>
      </c>
      <c r="D227" s="46" t="s">
        <v>16</v>
      </c>
      <c r="E227" s="80">
        <f t="shared" si="13"/>
        <v>0</v>
      </c>
      <c r="F227" s="80">
        <f t="shared" si="13"/>
        <v>0</v>
      </c>
      <c r="G227" s="95"/>
    </row>
    <row r="228" spans="1:7" ht="36" hidden="1" outlineLevel="4">
      <c r="A228" s="45" t="s">
        <v>17</v>
      </c>
      <c r="B228" s="46" t="s">
        <v>57</v>
      </c>
      <c r="C228" s="46" t="s">
        <v>511</v>
      </c>
      <c r="D228" s="46" t="s">
        <v>18</v>
      </c>
      <c r="E228" s="80">
        <v>0</v>
      </c>
      <c r="F228" s="80">
        <v>0</v>
      </c>
      <c r="G228" s="95"/>
    </row>
    <row r="229" spans="1:7" outlineLevel="5">
      <c r="A229" s="45" t="s">
        <v>58</v>
      </c>
      <c r="B229" s="46" t="s">
        <v>59</v>
      </c>
      <c r="C229" s="46" t="s">
        <v>126</v>
      </c>
      <c r="D229" s="46" t="s">
        <v>6</v>
      </c>
      <c r="E229" s="80">
        <f>E230</f>
        <v>15200000</v>
      </c>
      <c r="F229" s="80">
        <f>F230</f>
        <v>11700000</v>
      </c>
      <c r="G229" s="95"/>
    </row>
    <row r="230" spans="1:7" ht="39.75" customHeight="1" outlineLevel="6">
      <c r="A230" s="75" t="s">
        <v>874</v>
      </c>
      <c r="B230" s="61" t="s">
        <v>59</v>
      </c>
      <c r="C230" s="61" t="s">
        <v>134</v>
      </c>
      <c r="D230" s="61" t="s">
        <v>6</v>
      </c>
      <c r="E230" s="80">
        <f>E231</f>
        <v>15200000</v>
      </c>
      <c r="F230" s="80">
        <f>F231</f>
        <v>11700000</v>
      </c>
      <c r="G230" s="95"/>
    </row>
    <row r="231" spans="1:7" ht="36.75" customHeight="1" outlineLevel="4">
      <c r="A231" s="45" t="s">
        <v>875</v>
      </c>
      <c r="B231" s="46" t="s">
        <v>59</v>
      </c>
      <c r="C231" s="46" t="s">
        <v>350</v>
      </c>
      <c r="D231" s="46" t="s">
        <v>6</v>
      </c>
      <c r="E231" s="80">
        <f>E232+E239+E242+E248+E245</f>
        <v>15200000</v>
      </c>
      <c r="F231" s="80">
        <f>F232+F239+F242+F248+F245</f>
        <v>11700000</v>
      </c>
      <c r="G231" s="95"/>
    </row>
    <row r="232" spans="1:7" ht="76.650000000000006" customHeight="1" outlineLevel="5">
      <c r="A232" s="49" t="s">
        <v>60</v>
      </c>
      <c r="B232" s="46" t="s">
        <v>59</v>
      </c>
      <c r="C232" s="46" t="s">
        <v>351</v>
      </c>
      <c r="D232" s="46" t="s">
        <v>6</v>
      </c>
      <c r="E232" s="80">
        <f>E233+E235+E237</f>
        <v>7500000</v>
      </c>
      <c r="F232" s="80">
        <f>F233+F235+F237</f>
        <v>6500000</v>
      </c>
      <c r="G232" s="95"/>
    </row>
    <row r="233" spans="1:7" ht="18" customHeight="1" outlineLevel="6">
      <c r="A233" s="45" t="s">
        <v>15</v>
      </c>
      <c r="B233" s="46" t="s">
        <v>59</v>
      </c>
      <c r="C233" s="46" t="s">
        <v>351</v>
      </c>
      <c r="D233" s="46" t="s">
        <v>16</v>
      </c>
      <c r="E233" s="80">
        <f>E234</f>
        <v>2500000</v>
      </c>
      <c r="F233" s="80">
        <f>F234</f>
        <v>1500000</v>
      </c>
      <c r="G233" s="95"/>
    </row>
    <row r="234" spans="1:7" s="3" customFormat="1" ht="35.4" customHeight="1">
      <c r="A234" s="45" t="s">
        <v>17</v>
      </c>
      <c r="B234" s="46" t="s">
        <v>59</v>
      </c>
      <c r="C234" s="46" t="s">
        <v>351</v>
      </c>
      <c r="D234" s="46" t="s">
        <v>18</v>
      </c>
      <c r="E234" s="80">
        <f>'прил 12'!F240</f>
        <v>2500000</v>
      </c>
      <c r="F234" s="80">
        <f>'прил 12'!G240</f>
        <v>1500000</v>
      </c>
      <c r="G234" s="95"/>
    </row>
    <row r="235" spans="1:7" s="3" customFormat="1" ht="36" hidden="1">
      <c r="A235" s="164" t="s">
        <v>264</v>
      </c>
      <c r="B235" s="163" t="s">
        <v>59</v>
      </c>
      <c r="C235" s="163" t="s">
        <v>351</v>
      </c>
      <c r="D235" s="163" t="s">
        <v>265</v>
      </c>
      <c r="E235" s="80">
        <f>E236</f>
        <v>0</v>
      </c>
      <c r="F235" s="80">
        <f>F236</f>
        <v>0</v>
      </c>
      <c r="G235" s="95"/>
    </row>
    <row r="236" spans="1:7" s="3" customFormat="1" hidden="1">
      <c r="A236" s="164" t="s">
        <v>266</v>
      </c>
      <c r="B236" s="163" t="s">
        <v>59</v>
      </c>
      <c r="C236" s="163" t="s">
        <v>351</v>
      </c>
      <c r="D236" s="163" t="s">
        <v>267</v>
      </c>
      <c r="E236" s="80">
        <f>'прил 12'!F242</f>
        <v>0</v>
      </c>
      <c r="F236" s="80">
        <f>'прил 12'!G242</f>
        <v>0</v>
      </c>
      <c r="G236" s="95"/>
    </row>
    <row r="237" spans="1:7" s="3" customFormat="1">
      <c r="A237" s="164" t="s">
        <v>19</v>
      </c>
      <c r="B237" s="163" t="s">
        <v>59</v>
      </c>
      <c r="C237" s="163" t="s">
        <v>351</v>
      </c>
      <c r="D237" s="163" t="s">
        <v>20</v>
      </c>
      <c r="E237" s="80">
        <f>E238</f>
        <v>5000000</v>
      </c>
      <c r="F237" s="80">
        <f>F238</f>
        <v>5000000</v>
      </c>
      <c r="G237" s="95"/>
    </row>
    <row r="238" spans="1:7" s="3" customFormat="1" ht="36">
      <c r="A238" s="164" t="s">
        <v>47</v>
      </c>
      <c r="B238" s="163" t="s">
        <v>59</v>
      </c>
      <c r="C238" s="163" t="s">
        <v>351</v>
      </c>
      <c r="D238" s="163" t="s">
        <v>48</v>
      </c>
      <c r="E238" s="80">
        <f>'прил 12'!F244</f>
        <v>5000000</v>
      </c>
      <c r="F238" s="80">
        <f>'прил 12'!G244</f>
        <v>5000000</v>
      </c>
      <c r="G238" s="95"/>
    </row>
    <row r="239" spans="1:7" ht="39.75" customHeight="1" outlineLevel="1">
      <c r="A239" s="45" t="s">
        <v>250</v>
      </c>
      <c r="B239" s="46" t="s">
        <v>59</v>
      </c>
      <c r="C239" s="46" t="s">
        <v>352</v>
      </c>
      <c r="D239" s="46" t="s">
        <v>6</v>
      </c>
      <c r="E239" s="80">
        <f>E240</f>
        <v>5000000</v>
      </c>
      <c r="F239" s="80">
        <f>F240</f>
        <v>5000000</v>
      </c>
      <c r="G239" s="95"/>
    </row>
    <row r="240" spans="1:7" ht="20.25" customHeight="1" outlineLevel="2">
      <c r="A240" s="45" t="s">
        <v>19</v>
      </c>
      <c r="B240" s="46" t="s">
        <v>59</v>
      </c>
      <c r="C240" s="46" t="s">
        <v>352</v>
      </c>
      <c r="D240" s="46" t="s">
        <v>20</v>
      </c>
      <c r="E240" s="80">
        <f>E241</f>
        <v>5000000</v>
      </c>
      <c r="F240" s="80">
        <f>F241</f>
        <v>5000000</v>
      </c>
      <c r="G240" s="95"/>
    </row>
    <row r="241" spans="1:7" ht="39.15" customHeight="1" outlineLevel="3">
      <c r="A241" s="45" t="s">
        <v>47</v>
      </c>
      <c r="B241" s="46" t="s">
        <v>59</v>
      </c>
      <c r="C241" s="46" t="s">
        <v>352</v>
      </c>
      <c r="D241" s="46" t="s">
        <v>48</v>
      </c>
      <c r="E241" s="80">
        <f>'прил 12'!F247</f>
        <v>5000000</v>
      </c>
      <c r="F241" s="80">
        <f>'прил 12'!G247</f>
        <v>5000000</v>
      </c>
      <c r="G241" s="95"/>
    </row>
    <row r="242" spans="1:7" ht="36" customHeight="1" outlineLevel="4">
      <c r="A242" s="45" t="s">
        <v>262</v>
      </c>
      <c r="B242" s="46" t="s">
        <v>59</v>
      </c>
      <c r="C242" s="46" t="s">
        <v>353</v>
      </c>
      <c r="D242" s="46" t="s">
        <v>6</v>
      </c>
      <c r="E242" s="80">
        <f>E243</f>
        <v>2500000</v>
      </c>
      <c r="F242" s="80">
        <f>F243</f>
        <v>0</v>
      </c>
      <c r="G242" s="95"/>
    </row>
    <row r="243" spans="1:7" ht="17.399999999999999" customHeight="1" outlineLevel="5">
      <c r="A243" s="45" t="s">
        <v>19</v>
      </c>
      <c r="B243" s="46" t="s">
        <v>59</v>
      </c>
      <c r="C243" s="46" t="s">
        <v>353</v>
      </c>
      <c r="D243" s="46" t="s">
        <v>20</v>
      </c>
      <c r="E243" s="80">
        <f>E244</f>
        <v>2500000</v>
      </c>
      <c r="F243" s="80">
        <f>F244</f>
        <v>0</v>
      </c>
      <c r="G243" s="95"/>
    </row>
    <row r="244" spans="1:7" ht="39.15" customHeight="1" outlineLevel="6">
      <c r="A244" s="45" t="s">
        <v>47</v>
      </c>
      <c r="B244" s="46" t="s">
        <v>59</v>
      </c>
      <c r="C244" s="46" t="s">
        <v>353</v>
      </c>
      <c r="D244" s="46" t="s">
        <v>48</v>
      </c>
      <c r="E244" s="80">
        <f>'прил 12'!F250</f>
        <v>2500000</v>
      </c>
      <c r="F244" s="80">
        <f>'прил 12'!G250</f>
        <v>0</v>
      </c>
      <c r="G244" s="95"/>
    </row>
    <row r="245" spans="1:7" ht="39.15" hidden="1" customHeight="1" outlineLevel="6">
      <c r="A245" s="45" t="s">
        <v>299</v>
      </c>
      <c r="B245" s="46" t="s">
        <v>59</v>
      </c>
      <c r="C245" s="46" t="s">
        <v>390</v>
      </c>
      <c r="D245" s="46" t="s">
        <v>6</v>
      </c>
      <c r="E245" s="80">
        <f>E246</f>
        <v>0</v>
      </c>
      <c r="F245" s="80">
        <f>F246</f>
        <v>0</v>
      </c>
      <c r="G245" s="95"/>
    </row>
    <row r="246" spans="1:7" ht="39.15" hidden="1" customHeight="1" outlineLevel="6">
      <c r="A246" s="45" t="s">
        <v>15</v>
      </c>
      <c r="B246" s="46" t="s">
        <v>59</v>
      </c>
      <c r="C246" s="46" t="s">
        <v>390</v>
      </c>
      <c r="D246" s="46" t="s">
        <v>16</v>
      </c>
      <c r="E246" s="80">
        <f>E247</f>
        <v>0</v>
      </c>
      <c r="F246" s="80">
        <f>F247</f>
        <v>0</v>
      </c>
      <c r="G246" s="95"/>
    </row>
    <row r="247" spans="1:7" ht="39.15" hidden="1" customHeight="1" outlineLevel="6">
      <c r="A247" s="45" t="s">
        <v>17</v>
      </c>
      <c r="B247" s="46" t="s">
        <v>59</v>
      </c>
      <c r="C247" s="46" t="s">
        <v>390</v>
      </c>
      <c r="D247" s="46" t="s">
        <v>18</v>
      </c>
      <c r="E247" s="80">
        <f>'прил 12'!F253</f>
        <v>0</v>
      </c>
      <c r="F247" s="80">
        <f>'прил 12'!G253</f>
        <v>0</v>
      </c>
      <c r="G247" s="95"/>
    </row>
    <row r="248" spans="1:7" ht="56.25" customHeight="1" outlineLevel="6">
      <c r="A248" s="45" t="s">
        <v>263</v>
      </c>
      <c r="B248" s="46" t="s">
        <v>59</v>
      </c>
      <c r="C248" s="46" t="s">
        <v>391</v>
      </c>
      <c r="D248" s="46" t="s">
        <v>6</v>
      </c>
      <c r="E248" s="80">
        <f>E249</f>
        <v>200000</v>
      </c>
      <c r="F248" s="80">
        <f>F249</f>
        <v>200000</v>
      </c>
      <c r="G248" s="95"/>
    </row>
    <row r="249" spans="1:7" ht="21.15" customHeight="1" outlineLevel="6">
      <c r="A249" s="45" t="s">
        <v>15</v>
      </c>
      <c r="B249" s="46" t="s">
        <v>59</v>
      </c>
      <c r="C249" s="46" t="s">
        <v>391</v>
      </c>
      <c r="D249" s="46" t="s">
        <v>16</v>
      </c>
      <c r="E249" s="80">
        <f>E250</f>
        <v>200000</v>
      </c>
      <c r="F249" s="80">
        <f>F250</f>
        <v>200000</v>
      </c>
      <c r="G249" s="95"/>
    </row>
    <row r="250" spans="1:7" ht="36" outlineLevel="6">
      <c r="A250" s="45" t="s">
        <v>17</v>
      </c>
      <c r="B250" s="46" t="s">
        <v>59</v>
      </c>
      <c r="C250" s="46" t="s">
        <v>391</v>
      </c>
      <c r="D250" s="46" t="s">
        <v>18</v>
      </c>
      <c r="E250" s="80">
        <f>'прил 12'!F256</f>
        <v>200000</v>
      </c>
      <c r="F250" s="80">
        <f>'прил 12'!G256</f>
        <v>200000</v>
      </c>
      <c r="G250" s="95"/>
    </row>
    <row r="251" spans="1:7" outlineLevel="1">
      <c r="A251" s="45" t="s">
        <v>61</v>
      </c>
      <c r="B251" s="46" t="s">
        <v>62</v>
      </c>
      <c r="C251" s="46" t="s">
        <v>126</v>
      </c>
      <c r="D251" s="46" t="s">
        <v>6</v>
      </c>
      <c r="E251" s="80">
        <f>E252+E260+E271</f>
        <v>30574076.27</v>
      </c>
      <c r="F251" s="80">
        <f>F252+F260+F271</f>
        <v>27609227.807</v>
      </c>
      <c r="G251" s="95"/>
    </row>
    <row r="252" spans="1:7" ht="37.5" customHeight="1" outlineLevel="2">
      <c r="A252" s="75" t="s">
        <v>874</v>
      </c>
      <c r="B252" s="61" t="s">
        <v>62</v>
      </c>
      <c r="C252" s="61" t="s">
        <v>134</v>
      </c>
      <c r="D252" s="61" t="s">
        <v>6</v>
      </c>
      <c r="E252" s="80">
        <f>E253</f>
        <v>900000</v>
      </c>
      <c r="F252" s="80">
        <f t="shared" ref="E252:F258" si="14">F253</f>
        <v>900000</v>
      </c>
      <c r="G252" s="95"/>
    </row>
    <row r="253" spans="1:7" ht="19.5" customHeight="1" outlineLevel="3">
      <c r="A253" s="45" t="s">
        <v>354</v>
      </c>
      <c r="B253" s="46" t="s">
        <v>62</v>
      </c>
      <c r="C253" s="46" t="s">
        <v>232</v>
      </c>
      <c r="D253" s="46" t="s">
        <v>6</v>
      </c>
      <c r="E253" s="80">
        <f>E254+E257</f>
        <v>900000</v>
      </c>
      <c r="F253" s="80">
        <f>F254+F257</f>
        <v>900000</v>
      </c>
      <c r="G253" s="95"/>
    </row>
    <row r="254" spans="1:7" ht="19.5" customHeight="1" outlineLevel="3">
      <c r="A254" s="45" t="s">
        <v>360</v>
      </c>
      <c r="B254" s="46" t="s">
        <v>62</v>
      </c>
      <c r="C254" s="46" t="s">
        <v>462</v>
      </c>
      <c r="D254" s="46" t="s">
        <v>6</v>
      </c>
      <c r="E254" s="80">
        <f>E255</f>
        <v>400000</v>
      </c>
      <c r="F254" s="80">
        <f>F255</f>
        <v>400000</v>
      </c>
      <c r="G254" s="95"/>
    </row>
    <row r="255" spans="1:7" ht="19.5" customHeight="1" outlineLevel="3">
      <c r="A255" s="47" t="s">
        <v>15</v>
      </c>
      <c r="B255" s="46" t="s">
        <v>62</v>
      </c>
      <c r="C255" s="46" t="s">
        <v>462</v>
      </c>
      <c r="D255" s="46" t="s">
        <v>16</v>
      </c>
      <c r="E255" s="80">
        <f>E256</f>
        <v>400000</v>
      </c>
      <c r="F255" s="80">
        <f>F256</f>
        <v>400000</v>
      </c>
      <c r="G255" s="95"/>
    </row>
    <row r="256" spans="1:7" ht="36" outlineLevel="3">
      <c r="A256" s="47" t="s">
        <v>17</v>
      </c>
      <c r="B256" s="46" t="s">
        <v>62</v>
      </c>
      <c r="C256" s="46" t="s">
        <v>462</v>
      </c>
      <c r="D256" s="46" t="s">
        <v>18</v>
      </c>
      <c r="E256" s="80">
        <f>'прил 12'!F272</f>
        <v>400000</v>
      </c>
      <c r="F256" s="80">
        <f>'прил 12'!G272</f>
        <v>400000</v>
      </c>
      <c r="G256" s="95"/>
    </row>
    <row r="257" spans="1:7" ht="18" customHeight="1" outlineLevel="4">
      <c r="A257" s="49" t="s">
        <v>63</v>
      </c>
      <c r="B257" s="46" t="s">
        <v>62</v>
      </c>
      <c r="C257" s="46" t="s">
        <v>355</v>
      </c>
      <c r="D257" s="46" t="s">
        <v>6</v>
      </c>
      <c r="E257" s="80">
        <f t="shared" si="14"/>
        <v>500000</v>
      </c>
      <c r="F257" s="80">
        <f t="shared" si="14"/>
        <v>500000</v>
      </c>
      <c r="G257" s="95"/>
    </row>
    <row r="258" spans="1:7" ht="18" customHeight="1" outlineLevel="5">
      <c r="A258" s="45" t="s">
        <v>15</v>
      </c>
      <c r="B258" s="46" t="s">
        <v>62</v>
      </c>
      <c r="C258" s="46" t="s">
        <v>355</v>
      </c>
      <c r="D258" s="46" t="s">
        <v>16</v>
      </c>
      <c r="E258" s="80">
        <f t="shared" si="14"/>
        <v>500000</v>
      </c>
      <c r="F258" s="80">
        <f t="shared" si="14"/>
        <v>500000</v>
      </c>
      <c r="G258" s="95"/>
    </row>
    <row r="259" spans="1:7" ht="36" outlineLevel="6">
      <c r="A259" s="45" t="s">
        <v>17</v>
      </c>
      <c r="B259" s="46" t="s">
        <v>62</v>
      </c>
      <c r="C259" s="46" t="s">
        <v>355</v>
      </c>
      <c r="D259" s="46" t="s">
        <v>18</v>
      </c>
      <c r="E259" s="80">
        <f>'прил 12'!F278</f>
        <v>500000</v>
      </c>
      <c r="F259" s="80">
        <f>'прил 12'!G278</f>
        <v>500000</v>
      </c>
      <c r="G259" s="95"/>
    </row>
    <row r="260" spans="1:7" ht="36" outlineLevel="6">
      <c r="A260" s="75" t="s">
        <v>512</v>
      </c>
      <c r="B260" s="61" t="s">
        <v>62</v>
      </c>
      <c r="C260" s="61" t="s">
        <v>513</v>
      </c>
      <c r="D260" s="61" t="s">
        <v>6</v>
      </c>
      <c r="E260" s="80">
        <f>E261</f>
        <v>9700000</v>
      </c>
      <c r="F260" s="80">
        <f>F261</f>
        <v>6000000</v>
      </c>
      <c r="G260" s="95"/>
    </row>
    <row r="261" spans="1:7" ht="20.25" customHeight="1" outlineLevel="6">
      <c r="A261" s="45" t="s">
        <v>514</v>
      </c>
      <c r="B261" s="46" t="s">
        <v>62</v>
      </c>
      <c r="C261" s="46" t="s">
        <v>515</v>
      </c>
      <c r="D261" s="46" t="s">
        <v>6</v>
      </c>
      <c r="E261" s="80">
        <f>E262+E265+E268</f>
        <v>9700000</v>
      </c>
      <c r="F261" s="80">
        <f>F262+F265+F268</f>
        <v>6000000</v>
      </c>
      <c r="G261" s="95"/>
    </row>
    <row r="262" spans="1:7" ht="54" outlineLevel="6">
      <c r="A262" s="45" t="s">
        <v>516</v>
      </c>
      <c r="B262" s="46" t="s">
        <v>62</v>
      </c>
      <c r="C262" s="46" t="s">
        <v>517</v>
      </c>
      <c r="D262" s="46" t="s">
        <v>6</v>
      </c>
      <c r="E262" s="80">
        <f>E263</f>
        <v>3500000</v>
      </c>
      <c r="F262" s="80">
        <f>F263</f>
        <v>2500000</v>
      </c>
      <c r="G262" s="95"/>
    </row>
    <row r="263" spans="1:7" ht="36" outlineLevel="6">
      <c r="A263" s="45" t="s">
        <v>15</v>
      </c>
      <c r="B263" s="46" t="s">
        <v>62</v>
      </c>
      <c r="C263" s="46" t="s">
        <v>517</v>
      </c>
      <c r="D263" s="46" t="s">
        <v>16</v>
      </c>
      <c r="E263" s="80">
        <f>E264</f>
        <v>3500000</v>
      </c>
      <c r="F263" s="80">
        <f>F264</f>
        <v>2500000</v>
      </c>
      <c r="G263" s="95"/>
    </row>
    <row r="264" spans="1:7" ht="36" outlineLevel="6">
      <c r="A264" s="45" t="s">
        <v>17</v>
      </c>
      <c r="B264" s="46" t="s">
        <v>62</v>
      </c>
      <c r="C264" s="46" t="s">
        <v>517</v>
      </c>
      <c r="D264" s="46" t="s">
        <v>18</v>
      </c>
      <c r="E264" s="80">
        <f>'прил 12'!F283</f>
        <v>3500000</v>
      </c>
      <c r="F264" s="80">
        <f>'прил 12'!G283</f>
        <v>2500000</v>
      </c>
      <c r="G264" s="95"/>
    </row>
    <row r="265" spans="1:7" ht="36" outlineLevel="6">
      <c r="A265" s="45" t="s">
        <v>518</v>
      </c>
      <c r="B265" s="46" t="s">
        <v>62</v>
      </c>
      <c r="C265" s="46" t="s">
        <v>519</v>
      </c>
      <c r="D265" s="46" t="s">
        <v>6</v>
      </c>
      <c r="E265" s="80">
        <f>E266</f>
        <v>3700000</v>
      </c>
      <c r="F265" s="80">
        <f>F266</f>
        <v>2000000</v>
      </c>
      <c r="G265" s="95"/>
    </row>
    <row r="266" spans="1:7" ht="36" outlineLevel="6">
      <c r="A266" s="45" t="s">
        <v>15</v>
      </c>
      <c r="B266" s="46" t="s">
        <v>62</v>
      </c>
      <c r="C266" s="46" t="s">
        <v>519</v>
      </c>
      <c r="D266" s="46" t="s">
        <v>16</v>
      </c>
      <c r="E266" s="80">
        <f>E267</f>
        <v>3700000</v>
      </c>
      <c r="F266" s="80">
        <f>F267</f>
        <v>2000000</v>
      </c>
      <c r="G266" s="95"/>
    </row>
    <row r="267" spans="1:7" ht="36" outlineLevel="6">
      <c r="A267" s="45" t="s">
        <v>17</v>
      </c>
      <c r="B267" s="46" t="s">
        <v>62</v>
      </c>
      <c r="C267" s="46" t="s">
        <v>519</v>
      </c>
      <c r="D267" s="46" t="s">
        <v>18</v>
      </c>
      <c r="E267" s="80">
        <f>'прил 12'!F286</f>
        <v>3700000</v>
      </c>
      <c r="F267" s="80">
        <f>'прил 12'!G286</f>
        <v>2000000</v>
      </c>
      <c r="G267" s="95"/>
    </row>
    <row r="268" spans="1:7" outlineLevel="6">
      <c r="A268" s="45" t="s">
        <v>520</v>
      </c>
      <c r="B268" s="46" t="s">
        <v>62</v>
      </c>
      <c r="C268" s="46" t="s">
        <v>521</v>
      </c>
      <c r="D268" s="46" t="s">
        <v>6</v>
      </c>
      <c r="E268" s="80">
        <f>E269</f>
        <v>2500000</v>
      </c>
      <c r="F268" s="80">
        <f>F269</f>
        <v>1500000</v>
      </c>
      <c r="G268" s="95"/>
    </row>
    <row r="269" spans="1:7" ht="36" outlineLevel="6">
      <c r="A269" s="45" t="s">
        <v>15</v>
      </c>
      <c r="B269" s="46" t="s">
        <v>62</v>
      </c>
      <c r="C269" s="46" t="s">
        <v>521</v>
      </c>
      <c r="D269" s="46" t="s">
        <v>16</v>
      </c>
      <c r="E269" s="80">
        <f>E270</f>
        <v>2500000</v>
      </c>
      <c r="F269" s="80">
        <f>F270</f>
        <v>1500000</v>
      </c>
      <c r="G269" s="95"/>
    </row>
    <row r="270" spans="1:7" ht="36" outlineLevel="6">
      <c r="A270" s="45" t="s">
        <v>17</v>
      </c>
      <c r="B270" s="46" t="s">
        <v>62</v>
      </c>
      <c r="C270" s="46" t="s">
        <v>521</v>
      </c>
      <c r="D270" s="46" t="s">
        <v>18</v>
      </c>
      <c r="E270" s="80">
        <f>'прил 12'!F289</f>
        <v>2500000</v>
      </c>
      <c r="F270" s="80">
        <f>'прил 12'!G289</f>
        <v>1500000</v>
      </c>
      <c r="G270" s="95"/>
    </row>
    <row r="271" spans="1:7" ht="54" outlineLevel="6">
      <c r="A271" s="75" t="s">
        <v>522</v>
      </c>
      <c r="B271" s="61" t="s">
        <v>62</v>
      </c>
      <c r="C271" s="61" t="s">
        <v>523</v>
      </c>
      <c r="D271" s="61" t="s">
        <v>6</v>
      </c>
      <c r="E271" s="80">
        <f>E272+E277</f>
        <v>19974076.27</v>
      </c>
      <c r="F271" s="80">
        <f>F272+F277</f>
        <v>20709227.807</v>
      </c>
      <c r="G271" s="95"/>
    </row>
    <row r="272" spans="1:7" ht="38.25" customHeight="1" outlineLevel="6">
      <c r="A272" s="75" t="s">
        <v>554</v>
      </c>
      <c r="B272" s="61" t="s">
        <v>62</v>
      </c>
      <c r="C272" s="61" t="s">
        <v>555</v>
      </c>
      <c r="D272" s="61" t="s">
        <v>6</v>
      </c>
      <c r="E272" s="80">
        <f t="shared" ref="E272:F275" si="15">E273</f>
        <v>6616389.0700000003</v>
      </c>
      <c r="F272" s="80">
        <f t="shared" si="15"/>
        <v>7351540.5999999996</v>
      </c>
      <c r="G272" s="95"/>
    </row>
    <row r="273" spans="1:8" outlineLevel="6">
      <c r="A273" s="45" t="s">
        <v>553</v>
      </c>
      <c r="B273" s="46" t="s">
        <v>62</v>
      </c>
      <c r="C273" s="46" t="s">
        <v>556</v>
      </c>
      <c r="D273" s="46" t="s">
        <v>6</v>
      </c>
      <c r="E273" s="80">
        <f t="shared" si="15"/>
        <v>6616389.0700000003</v>
      </c>
      <c r="F273" s="80">
        <f t="shared" si="15"/>
        <v>7351540.5999999996</v>
      </c>
      <c r="G273" s="95"/>
    </row>
    <row r="274" spans="1:8" outlineLevel="6">
      <c r="A274" s="45" t="s">
        <v>552</v>
      </c>
      <c r="B274" s="46" t="s">
        <v>62</v>
      </c>
      <c r="C274" s="46" t="s">
        <v>557</v>
      </c>
      <c r="D274" s="46" t="s">
        <v>6</v>
      </c>
      <c r="E274" s="80">
        <f t="shared" si="15"/>
        <v>6616389.0700000003</v>
      </c>
      <c r="F274" s="80">
        <f t="shared" si="15"/>
        <v>7351540.5999999996</v>
      </c>
      <c r="G274" s="95"/>
    </row>
    <row r="275" spans="1:8" ht="36" outlineLevel="6">
      <c r="A275" s="45" t="s">
        <v>15</v>
      </c>
      <c r="B275" s="46" t="s">
        <v>62</v>
      </c>
      <c r="C275" s="46" t="s">
        <v>557</v>
      </c>
      <c r="D275" s="46" t="s">
        <v>16</v>
      </c>
      <c r="E275" s="80">
        <f t="shared" si="15"/>
        <v>6616389.0700000003</v>
      </c>
      <c r="F275" s="80">
        <f t="shared" si="15"/>
        <v>7351540.5999999996</v>
      </c>
      <c r="G275" s="95"/>
    </row>
    <row r="276" spans="1:8" ht="36" outlineLevel="6">
      <c r="A276" s="45" t="s">
        <v>17</v>
      </c>
      <c r="B276" s="46" t="s">
        <v>62</v>
      </c>
      <c r="C276" s="46" t="s">
        <v>557</v>
      </c>
      <c r="D276" s="46" t="s">
        <v>18</v>
      </c>
      <c r="E276" s="80">
        <f>'прил 12'!F295</f>
        <v>6616389.0700000003</v>
      </c>
      <c r="F276" s="80">
        <f>'прил 12'!G295</f>
        <v>7351540.5999999996</v>
      </c>
      <c r="G276" s="95"/>
    </row>
    <row r="277" spans="1:8" ht="36" outlineLevel="6">
      <c r="A277" s="133" t="s">
        <v>558</v>
      </c>
      <c r="B277" s="46" t="s">
        <v>62</v>
      </c>
      <c r="C277" s="61" t="s">
        <v>560</v>
      </c>
      <c r="D277" s="61" t="s">
        <v>6</v>
      </c>
      <c r="E277" s="80">
        <f t="shared" ref="E277:F283" si="16">E278</f>
        <v>13357687.199999999</v>
      </c>
      <c r="F277" s="80">
        <f t="shared" si="16"/>
        <v>13357687.207</v>
      </c>
      <c r="G277" s="95"/>
    </row>
    <row r="278" spans="1:8" ht="36" outlineLevel="6">
      <c r="A278" s="133" t="s">
        <v>559</v>
      </c>
      <c r="B278" s="46" t="s">
        <v>62</v>
      </c>
      <c r="C278" s="61" t="s">
        <v>561</v>
      </c>
      <c r="D278" s="61" t="s">
        <v>6</v>
      </c>
      <c r="E278" s="80">
        <f>E279+E282</f>
        <v>13357687.199999999</v>
      </c>
      <c r="F278" s="80">
        <f>F279+F282</f>
        <v>13357687.207</v>
      </c>
      <c r="G278" s="95"/>
    </row>
    <row r="279" spans="1:8" ht="54" outlineLevel="6">
      <c r="A279" s="47" t="s">
        <v>573</v>
      </c>
      <c r="B279" s="46" t="s">
        <v>62</v>
      </c>
      <c r="C279" s="46" t="s">
        <v>598</v>
      </c>
      <c r="D279" s="46" t="s">
        <v>6</v>
      </c>
      <c r="E279" s="80">
        <f>E280</f>
        <v>12956956.59</v>
      </c>
      <c r="F279" s="80">
        <f>F280</f>
        <v>12956956.59</v>
      </c>
      <c r="G279" s="95"/>
    </row>
    <row r="280" spans="1:8" ht="36" outlineLevel="6">
      <c r="A280" s="45" t="s">
        <v>15</v>
      </c>
      <c r="B280" s="46" t="s">
        <v>62</v>
      </c>
      <c r="C280" s="46" t="s">
        <v>598</v>
      </c>
      <c r="D280" s="46" t="s">
        <v>16</v>
      </c>
      <c r="E280" s="80">
        <f>E281</f>
        <v>12956956.59</v>
      </c>
      <c r="F280" s="80">
        <f>F281</f>
        <v>12956956.59</v>
      </c>
      <c r="G280" s="95"/>
    </row>
    <row r="281" spans="1:8" ht="36" outlineLevel="6">
      <c r="A281" s="45" t="s">
        <v>17</v>
      </c>
      <c r="B281" s="46" t="s">
        <v>62</v>
      </c>
      <c r="C281" s="46" t="s">
        <v>598</v>
      </c>
      <c r="D281" s="46" t="s">
        <v>18</v>
      </c>
      <c r="E281" s="80">
        <f>'прил 12'!F303</f>
        <v>12956956.59</v>
      </c>
      <c r="F281" s="80">
        <f>'прил 12'!G303</f>
        <v>12956956.59</v>
      </c>
      <c r="G281" s="95"/>
    </row>
    <row r="282" spans="1:8" ht="36" outlineLevel="6">
      <c r="A282" s="47" t="s">
        <v>563</v>
      </c>
      <c r="B282" s="46" t="s">
        <v>62</v>
      </c>
      <c r="C282" s="46" t="s">
        <v>562</v>
      </c>
      <c r="D282" s="46" t="s">
        <v>6</v>
      </c>
      <c r="E282" s="80">
        <f t="shared" si="16"/>
        <v>400730.61</v>
      </c>
      <c r="F282" s="80">
        <f t="shared" si="16"/>
        <v>400730.61699999997</v>
      </c>
      <c r="G282" s="95"/>
    </row>
    <row r="283" spans="1:8" ht="36" outlineLevel="6">
      <c r="A283" s="45" t="s">
        <v>15</v>
      </c>
      <c r="B283" s="46" t="s">
        <v>62</v>
      </c>
      <c r="C283" s="46" t="s">
        <v>562</v>
      </c>
      <c r="D283" s="46" t="s">
        <v>16</v>
      </c>
      <c r="E283" s="80">
        <f t="shared" si="16"/>
        <v>400730.61</v>
      </c>
      <c r="F283" s="80">
        <f t="shared" si="16"/>
        <v>400730.61699999997</v>
      </c>
      <c r="G283" s="95"/>
    </row>
    <row r="284" spans="1:8" ht="36" outlineLevel="6">
      <c r="A284" s="45" t="s">
        <v>17</v>
      </c>
      <c r="B284" s="46" t="s">
        <v>62</v>
      </c>
      <c r="C284" s="46" t="s">
        <v>562</v>
      </c>
      <c r="D284" s="46" t="s">
        <v>18</v>
      </c>
      <c r="E284" s="80">
        <f>'прил 12'!F306</f>
        <v>400730.61</v>
      </c>
      <c r="F284" s="80">
        <f>'прил 12'!G306</f>
        <v>400730.61699999997</v>
      </c>
      <c r="G284" s="95"/>
    </row>
    <row r="285" spans="1:8" ht="20.25" customHeight="1" outlineLevel="4">
      <c r="A285" s="45" t="s">
        <v>292</v>
      </c>
      <c r="B285" s="46" t="s">
        <v>293</v>
      </c>
      <c r="C285" s="46" t="s">
        <v>126</v>
      </c>
      <c r="D285" s="46" t="s">
        <v>6</v>
      </c>
      <c r="E285" s="80">
        <f t="shared" ref="E285:F289" si="17">E286</f>
        <v>300000</v>
      </c>
      <c r="F285" s="80">
        <f t="shared" si="17"/>
        <v>300000</v>
      </c>
      <c r="G285" s="95"/>
    </row>
    <row r="286" spans="1:8" ht="38.25" customHeight="1" outlineLevel="5">
      <c r="A286" s="75" t="s">
        <v>872</v>
      </c>
      <c r="B286" s="61" t="s">
        <v>293</v>
      </c>
      <c r="C286" s="61" t="s">
        <v>134</v>
      </c>
      <c r="D286" s="61" t="s">
        <v>6</v>
      </c>
      <c r="E286" s="80">
        <f t="shared" si="17"/>
        <v>300000</v>
      </c>
      <c r="F286" s="80">
        <f t="shared" si="17"/>
        <v>300000</v>
      </c>
      <c r="G286" s="95"/>
    </row>
    <row r="287" spans="1:8" ht="39.15" customHeight="1" outlineLevel="6">
      <c r="A287" s="45" t="s">
        <v>873</v>
      </c>
      <c r="B287" s="46" t="s">
        <v>293</v>
      </c>
      <c r="C287" s="46" t="s">
        <v>350</v>
      </c>
      <c r="D287" s="46" t="s">
        <v>6</v>
      </c>
      <c r="E287" s="80">
        <f t="shared" si="17"/>
        <v>300000</v>
      </c>
      <c r="F287" s="80">
        <f t="shared" si="17"/>
        <v>300000</v>
      </c>
      <c r="G287" s="95"/>
    </row>
    <row r="288" spans="1:8" ht="21.75" customHeight="1" outlineLevel="6">
      <c r="A288" s="45" t="s">
        <v>306</v>
      </c>
      <c r="B288" s="46" t="s">
        <v>293</v>
      </c>
      <c r="C288" s="46" t="s">
        <v>357</v>
      </c>
      <c r="D288" s="46" t="s">
        <v>6</v>
      </c>
      <c r="E288" s="80">
        <f t="shared" si="17"/>
        <v>300000</v>
      </c>
      <c r="F288" s="80">
        <f t="shared" si="17"/>
        <v>300000</v>
      </c>
      <c r="G288" s="95"/>
      <c r="H288" s="1" t="s">
        <v>51</v>
      </c>
    </row>
    <row r="289" spans="1:8" outlineLevel="6">
      <c r="A289" s="45" t="s">
        <v>19</v>
      </c>
      <c r="B289" s="46" t="s">
        <v>293</v>
      </c>
      <c r="C289" s="46" t="s">
        <v>357</v>
      </c>
      <c r="D289" s="46" t="s">
        <v>20</v>
      </c>
      <c r="E289" s="80">
        <f t="shared" si="17"/>
        <v>300000</v>
      </c>
      <c r="F289" s="80">
        <f t="shared" si="17"/>
        <v>300000</v>
      </c>
      <c r="G289" s="95"/>
    </row>
    <row r="290" spans="1:8" ht="39.15" customHeight="1" outlineLevel="6">
      <c r="A290" s="45" t="s">
        <v>47</v>
      </c>
      <c r="B290" s="46" t="s">
        <v>293</v>
      </c>
      <c r="C290" s="46" t="s">
        <v>357</v>
      </c>
      <c r="D290" s="46" t="s">
        <v>48</v>
      </c>
      <c r="E290" s="80">
        <f>'прил 12'!F321</f>
        <v>300000</v>
      </c>
      <c r="F290" s="80">
        <f>'прил 12'!G321</f>
        <v>300000</v>
      </c>
      <c r="G290" s="95"/>
    </row>
    <row r="291" spans="1:8" outlineLevel="6">
      <c r="A291" s="75" t="s">
        <v>64</v>
      </c>
      <c r="B291" s="61" t="s">
        <v>65</v>
      </c>
      <c r="C291" s="61" t="s">
        <v>126</v>
      </c>
      <c r="D291" s="61" t="s">
        <v>6</v>
      </c>
      <c r="E291" s="81">
        <f>E292</f>
        <v>515000</v>
      </c>
      <c r="F291" s="81">
        <f>F292</f>
        <v>515000</v>
      </c>
      <c r="G291" s="95">
        <f>потребность!G693</f>
        <v>515000</v>
      </c>
      <c r="H291" s="95">
        <f>потребность!H693</f>
        <v>515000</v>
      </c>
    </row>
    <row r="292" spans="1:8" ht="18" customHeight="1" outlineLevel="6">
      <c r="A292" s="45" t="s">
        <v>66</v>
      </c>
      <c r="B292" s="46" t="s">
        <v>67</v>
      </c>
      <c r="C292" s="46" t="s">
        <v>126</v>
      </c>
      <c r="D292" s="46" t="s">
        <v>6</v>
      </c>
      <c r="E292" s="80">
        <f>E293+E302</f>
        <v>515000</v>
      </c>
      <c r="F292" s="80">
        <f>F293+F302</f>
        <v>515000</v>
      </c>
      <c r="G292" s="94"/>
    </row>
    <row r="293" spans="1:8" ht="36" outlineLevel="3">
      <c r="A293" s="75" t="s">
        <v>870</v>
      </c>
      <c r="B293" s="61" t="s">
        <v>67</v>
      </c>
      <c r="C293" s="61" t="s">
        <v>135</v>
      </c>
      <c r="D293" s="61" t="s">
        <v>6</v>
      </c>
      <c r="E293" s="80">
        <f>E294+E298</f>
        <v>470000</v>
      </c>
      <c r="F293" s="80">
        <f>F294+F298</f>
        <v>470000</v>
      </c>
      <c r="G293" s="94"/>
    </row>
    <row r="294" spans="1:8" ht="38.25" customHeight="1" outlineLevel="4">
      <c r="A294" s="45" t="s">
        <v>359</v>
      </c>
      <c r="B294" s="46" t="s">
        <v>67</v>
      </c>
      <c r="C294" s="46" t="s">
        <v>392</v>
      </c>
      <c r="D294" s="46" t="s">
        <v>6</v>
      </c>
      <c r="E294" s="80">
        <f t="shared" ref="E294:F296" si="18">E295</f>
        <v>440000</v>
      </c>
      <c r="F294" s="80">
        <f t="shared" si="18"/>
        <v>440000</v>
      </c>
      <c r="G294" s="94"/>
    </row>
    <row r="295" spans="1:8" ht="19.5" customHeight="1" outlineLevel="6">
      <c r="A295" s="45" t="s">
        <v>244</v>
      </c>
      <c r="B295" s="46" t="s">
        <v>67</v>
      </c>
      <c r="C295" s="46" t="s">
        <v>361</v>
      </c>
      <c r="D295" s="46" t="s">
        <v>6</v>
      </c>
      <c r="E295" s="80">
        <f t="shared" si="18"/>
        <v>440000</v>
      </c>
      <c r="F295" s="80">
        <f t="shared" si="18"/>
        <v>440000</v>
      </c>
      <c r="G295" s="94"/>
    </row>
    <row r="296" spans="1:8" ht="18" customHeight="1" outlineLevel="6">
      <c r="A296" s="45" t="s">
        <v>15</v>
      </c>
      <c r="B296" s="46" t="s">
        <v>67</v>
      </c>
      <c r="C296" s="46" t="s">
        <v>361</v>
      </c>
      <c r="D296" s="46" t="s">
        <v>16</v>
      </c>
      <c r="E296" s="80">
        <f t="shared" si="18"/>
        <v>440000</v>
      </c>
      <c r="F296" s="80">
        <f t="shared" si="18"/>
        <v>440000</v>
      </c>
      <c r="G296" s="94"/>
    </row>
    <row r="297" spans="1:8" ht="23.25" customHeight="1" outlineLevel="6">
      <c r="A297" s="45" t="s">
        <v>17</v>
      </c>
      <c r="B297" s="46" t="s">
        <v>67</v>
      </c>
      <c r="C297" s="46" t="s">
        <v>361</v>
      </c>
      <c r="D297" s="46" t="s">
        <v>18</v>
      </c>
      <c r="E297" s="80">
        <f>'прил 12'!F328</f>
        <v>440000</v>
      </c>
      <c r="F297" s="80">
        <f>'прил 12'!G328</f>
        <v>440000</v>
      </c>
      <c r="G297" s="94"/>
    </row>
    <row r="298" spans="1:8" ht="19.5" customHeight="1" outlineLevel="6">
      <c r="A298" s="45" t="s">
        <v>362</v>
      </c>
      <c r="B298" s="46" t="s">
        <v>67</v>
      </c>
      <c r="C298" s="46" t="s">
        <v>246</v>
      </c>
      <c r="D298" s="46" t="s">
        <v>6</v>
      </c>
      <c r="E298" s="80">
        <f t="shared" ref="E298:F300" si="19">E299</f>
        <v>30000</v>
      </c>
      <c r="F298" s="80">
        <f t="shared" si="19"/>
        <v>30000</v>
      </c>
      <c r="G298" s="94"/>
    </row>
    <row r="299" spans="1:8" outlineLevel="6">
      <c r="A299" s="45" t="s">
        <v>68</v>
      </c>
      <c r="B299" s="46" t="s">
        <v>67</v>
      </c>
      <c r="C299" s="46" t="s">
        <v>245</v>
      </c>
      <c r="D299" s="46" t="s">
        <v>6</v>
      </c>
      <c r="E299" s="80">
        <f t="shared" si="19"/>
        <v>30000</v>
      </c>
      <c r="F299" s="80">
        <f t="shared" si="19"/>
        <v>30000</v>
      </c>
      <c r="G299" s="94"/>
    </row>
    <row r="300" spans="1:8" ht="18.75" customHeight="1" outlineLevel="4">
      <c r="A300" s="45" t="s">
        <v>15</v>
      </c>
      <c r="B300" s="46" t="s">
        <v>67</v>
      </c>
      <c r="C300" s="46" t="s">
        <v>245</v>
      </c>
      <c r="D300" s="46" t="s">
        <v>16</v>
      </c>
      <c r="E300" s="80">
        <f t="shared" si="19"/>
        <v>30000</v>
      </c>
      <c r="F300" s="80">
        <f t="shared" si="19"/>
        <v>30000</v>
      </c>
      <c r="G300" s="94"/>
    </row>
    <row r="301" spans="1:8" ht="36" outlineLevel="5">
      <c r="A301" s="45" t="s">
        <v>17</v>
      </c>
      <c r="B301" s="46" t="s">
        <v>67</v>
      </c>
      <c r="C301" s="46" t="s">
        <v>245</v>
      </c>
      <c r="D301" s="46" t="s">
        <v>18</v>
      </c>
      <c r="E301" s="80">
        <f>'прил 12'!F332</f>
        <v>30000</v>
      </c>
      <c r="F301" s="80">
        <f>'прил 12'!G332</f>
        <v>30000</v>
      </c>
      <c r="G301" s="94"/>
    </row>
    <row r="302" spans="1:8" ht="75.150000000000006" customHeight="1" outlineLevel="6">
      <c r="A302" s="75" t="s">
        <v>888</v>
      </c>
      <c r="B302" s="61" t="s">
        <v>67</v>
      </c>
      <c r="C302" s="61" t="s">
        <v>363</v>
      </c>
      <c r="D302" s="61" t="s">
        <v>6</v>
      </c>
      <c r="E302" s="80">
        <f t="shared" ref="E302:F305" si="20">E303</f>
        <v>45000</v>
      </c>
      <c r="F302" s="80">
        <f t="shared" si="20"/>
        <v>45000</v>
      </c>
      <c r="G302" s="94"/>
    </row>
    <row r="303" spans="1:8" ht="27" customHeight="1" outlineLevel="2">
      <c r="A303" s="45" t="s">
        <v>364</v>
      </c>
      <c r="B303" s="46" t="s">
        <v>67</v>
      </c>
      <c r="C303" s="46" t="s">
        <v>365</v>
      </c>
      <c r="D303" s="46" t="s">
        <v>6</v>
      </c>
      <c r="E303" s="80">
        <f t="shared" si="20"/>
        <v>45000</v>
      </c>
      <c r="F303" s="80">
        <f t="shared" si="20"/>
        <v>45000</v>
      </c>
      <c r="G303" s="94"/>
    </row>
    <row r="304" spans="1:8" outlineLevel="4">
      <c r="A304" s="45" t="s">
        <v>366</v>
      </c>
      <c r="B304" s="46" t="s">
        <v>67</v>
      </c>
      <c r="C304" s="46" t="s">
        <v>367</v>
      </c>
      <c r="D304" s="46" t="s">
        <v>6</v>
      </c>
      <c r="E304" s="80">
        <f t="shared" si="20"/>
        <v>45000</v>
      </c>
      <c r="F304" s="80">
        <f t="shared" si="20"/>
        <v>45000</v>
      </c>
      <c r="G304" s="94"/>
    </row>
    <row r="305" spans="1:8" ht="18" customHeight="1" outlineLevel="5">
      <c r="A305" s="45" t="s">
        <v>15</v>
      </c>
      <c r="B305" s="46" t="s">
        <v>67</v>
      </c>
      <c r="C305" s="46" t="s">
        <v>367</v>
      </c>
      <c r="D305" s="46" t="s">
        <v>16</v>
      </c>
      <c r="E305" s="80">
        <f t="shared" si="20"/>
        <v>45000</v>
      </c>
      <c r="F305" s="80">
        <f t="shared" si="20"/>
        <v>45000</v>
      </c>
      <c r="G305" s="94"/>
    </row>
    <row r="306" spans="1:8" ht="36" outlineLevel="6">
      <c r="A306" s="45" t="s">
        <v>17</v>
      </c>
      <c r="B306" s="46" t="s">
        <v>67</v>
      </c>
      <c r="C306" s="46" t="s">
        <v>367</v>
      </c>
      <c r="D306" s="46" t="s">
        <v>18</v>
      </c>
      <c r="E306" s="80">
        <f>'прил 12'!F337</f>
        <v>45000</v>
      </c>
      <c r="F306" s="80">
        <f>'прил 12'!G337</f>
        <v>45000</v>
      </c>
      <c r="G306" s="94"/>
    </row>
    <row r="307" spans="1:8" outlineLevel="1">
      <c r="A307" s="75" t="s">
        <v>69</v>
      </c>
      <c r="B307" s="61" t="s">
        <v>70</v>
      </c>
      <c r="C307" s="61" t="s">
        <v>126</v>
      </c>
      <c r="D307" s="61" t="s">
        <v>6</v>
      </c>
      <c r="E307" s="81">
        <f>E308+E334+E371+E401+E420</f>
        <v>605739249.45599997</v>
      </c>
      <c r="F307" s="81">
        <f>F308+F334+F371+F401+F420</f>
        <v>623941281.80999994</v>
      </c>
      <c r="G307" s="95">
        <f>потребность!G694</f>
        <v>512100956.51000005</v>
      </c>
      <c r="H307" s="95">
        <f>потребность!H694</f>
        <v>612665896.35000002</v>
      </c>
    </row>
    <row r="308" spans="1:8" ht="17.399999999999999" customHeight="1" outlineLevel="2">
      <c r="A308" s="45" t="s">
        <v>110</v>
      </c>
      <c r="B308" s="46" t="s">
        <v>111</v>
      </c>
      <c r="C308" s="46" t="s">
        <v>126</v>
      </c>
      <c r="D308" s="46" t="s">
        <v>6</v>
      </c>
      <c r="E308" s="80">
        <f>E309</f>
        <v>136647891</v>
      </c>
      <c r="F308" s="80">
        <f>F309</f>
        <v>141527643.09999999</v>
      </c>
      <c r="G308" s="94">
        <f>E307-G307</f>
        <v>93638292.94599992</v>
      </c>
    </row>
    <row r="309" spans="1:8" ht="39.75" customHeight="1" outlineLevel="3">
      <c r="A309" s="75" t="s">
        <v>853</v>
      </c>
      <c r="B309" s="61" t="s">
        <v>111</v>
      </c>
      <c r="C309" s="61" t="s">
        <v>138</v>
      </c>
      <c r="D309" s="61" t="s">
        <v>6</v>
      </c>
      <c r="E309" s="80">
        <f>E310</f>
        <v>136647891</v>
      </c>
      <c r="F309" s="80">
        <f>F310</f>
        <v>141527643.09999999</v>
      </c>
      <c r="G309" s="94"/>
    </row>
    <row r="310" spans="1:8" ht="36" outlineLevel="3">
      <c r="A310" s="45" t="s">
        <v>862</v>
      </c>
      <c r="B310" s="46" t="s">
        <v>111</v>
      </c>
      <c r="C310" s="46" t="s">
        <v>139</v>
      </c>
      <c r="D310" s="46" t="s">
        <v>6</v>
      </c>
      <c r="E310" s="80">
        <f>E311+E318</f>
        <v>136647891</v>
      </c>
      <c r="F310" s="80">
        <f>F311+F318</f>
        <v>141527643.09999999</v>
      </c>
      <c r="G310" s="94"/>
    </row>
    <row r="311" spans="1:8" ht="36" outlineLevel="3">
      <c r="A311" s="48" t="s">
        <v>202</v>
      </c>
      <c r="B311" s="46" t="s">
        <v>111</v>
      </c>
      <c r="C311" s="46" t="s">
        <v>219</v>
      </c>
      <c r="D311" s="46" t="s">
        <v>6</v>
      </c>
      <c r="E311" s="80">
        <f>E312+E315</f>
        <v>134598391</v>
      </c>
      <c r="F311" s="80">
        <f>F312+F315</f>
        <v>140978143.09999999</v>
      </c>
      <c r="G311" s="94"/>
    </row>
    <row r="312" spans="1:8" ht="38.25" customHeight="1" outlineLevel="3">
      <c r="A312" s="45" t="s">
        <v>113</v>
      </c>
      <c r="B312" s="46" t="s">
        <v>111</v>
      </c>
      <c r="C312" s="46" t="s">
        <v>144</v>
      </c>
      <c r="D312" s="46" t="s">
        <v>6</v>
      </c>
      <c r="E312" s="80">
        <f>E313</f>
        <v>48674961</v>
      </c>
      <c r="F312" s="80">
        <f>F313</f>
        <v>50130008.100000001</v>
      </c>
      <c r="G312" s="94"/>
    </row>
    <row r="313" spans="1:8" ht="39.15" customHeight="1" outlineLevel="4">
      <c r="A313" s="45" t="s">
        <v>37</v>
      </c>
      <c r="B313" s="46" t="s">
        <v>111</v>
      </c>
      <c r="C313" s="46" t="s">
        <v>144</v>
      </c>
      <c r="D313" s="46" t="s">
        <v>38</v>
      </c>
      <c r="E313" s="80">
        <f>E314</f>
        <v>48674961</v>
      </c>
      <c r="F313" s="80">
        <f>F314</f>
        <v>50130008.100000001</v>
      </c>
      <c r="G313" s="94"/>
    </row>
    <row r="314" spans="1:8" outlineLevel="6">
      <c r="A314" s="45" t="s">
        <v>74</v>
      </c>
      <c r="B314" s="46" t="s">
        <v>111</v>
      </c>
      <c r="C314" s="46" t="s">
        <v>144</v>
      </c>
      <c r="D314" s="46" t="s">
        <v>75</v>
      </c>
      <c r="E314" s="80">
        <f>'прил 12'!F501</f>
        <v>48674961</v>
      </c>
      <c r="F314" s="80">
        <f>'прил 12'!G501</f>
        <v>50130008.100000001</v>
      </c>
      <c r="G314" s="94"/>
    </row>
    <row r="315" spans="1:8" ht="77.25" customHeight="1" outlineLevel="6">
      <c r="A315" s="48" t="s">
        <v>397</v>
      </c>
      <c r="B315" s="46" t="s">
        <v>111</v>
      </c>
      <c r="C315" s="46" t="s">
        <v>145</v>
      </c>
      <c r="D315" s="46" t="s">
        <v>6</v>
      </c>
      <c r="E315" s="80">
        <f>E316</f>
        <v>85923430</v>
      </c>
      <c r="F315" s="80">
        <f>F316</f>
        <v>90848135</v>
      </c>
      <c r="G315" s="94"/>
    </row>
    <row r="316" spans="1:8" ht="36" outlineLevel="5">
      <c r="A316" s="45" t="s">
        <v>37</v>
      </c>
      <c r="B316" s="46" t="s">
        <v>111</v>
      </c>
      <c r="C316" s="46" t="s">
        <v>145</v>
      </c>
      <c r="D316" s="46" t="s">
        <v>38</v>
      </c>
      <c r="E316" s="80">
        <f>E317</f>
        <v>85923430</v>
      </c>
      <c r="F316" s="80">
        <f>F317</f>
        <v>90848135</v>
      </c>
      <c r="G316" s="94"/>
    </row>
    <row r="317" spans="1:8" outlineLevel="6">
      <c r="A317" s="45" t="s">
        <v>74</v>
      </c>
      <c r="B317" s="46" t="s">
        <v>111</v>
      </c>
      <c r="C317" s="46" t="s">
        <v>145</v>
      </c>
      <c r="D317" s="46" t="s">
        <v>75</v>
      </c>
      <c r="E317" s="80">
        <f>'прил 12'!F504</f>
        <v>85923430</v>
      </c>
      <c r="F317" s="80">
        <f>'прил 12'!G504</f>
        <v>90848135</v>
      </c>
      <c r="G317" s="94"/>
    </row>
    <row r="318" spans="1:8" ht="36" outlineLevel="4">
      <c r="A318" s="48" t="s">
        <v>203</v>
      </c>
      <c r="B318" s="46" t="s">
        <v>111</v>
      </c>
      <c r="C318" s="46" t="s">
        <v>221</v>
      </c>
      <c r="D318" s="46" t="s">
        <v>6</v>
      </c>
      <c r="E318" s="80">
        <f>E331+E319+E322+E325+E328</f>
        <v>2049500</v>
      </c>
      <c r="F318" s="80">
        <f>F331+F319+F322+F325+F328</f>
        <v>549500</v>
      </c>
      <c r="G318" s="94"/>
    </row>
    <row r="319" spans="1:8" ht="36" outlineLevel="6">
      <c r="A319" s="45" t="s">
        <v>282</v>
      </c>
      <c r="B319" s="46" t="s">
        <v>111</v>
      </c>
      <c r="C319" s="46" t="s">
        <v>283</v>
      </c>
      <c r="D319" s="46" t="s">
        <v>6</v>
      </c>
      <c r="E319" s="80">
        <f>E320</f>
        <v>97500</v>
      </c>
      <c r="F319" s="80">
        <f>F320</f>
        <v>97500</v>
      </c>
      <c r="G319" s="94"/>
    </row>
    <row r="320" spans="1:8" ht="36" outlineLevel="5">
      <c r="A320" s="45" t="s">
        <v>37</v>
      </c>
      <c r="B320" s="46" t="s">
        <v>111</v>
      </c>
      <c r="C320" s="46" t="s">
        <v>283</v>
      </c>
      <c r="D320" s="46" t="s">
        <v>38</v>
      </c>
      <c r="E320" s="80">
        <f>E321</f>
        <v>97500</v>
      </c>
      <c r="F320" s="80">
        <f>F321</f>
        <v>97500</v>
      </c>
      <c r="G320" s="94"/>
    </row>
    <row r="321" spans="1:9" outlineLevel="6">
      <c r="A321" s="45" t="s">
        <v>74</v>
      </c>
      <c r="B321" s="46" t="s">
        <v>111</v>
      </c>
      <c r="C321" s="46" t="s">
        <v>283</v>
      </c>
      <c r="D321" s="46" t="s">
        <v>75</v>
      </c>
      <c r="E321" s="80">
        <f>'прил 12'!F508</f>
        <v>97500</v>
      </c>
      <c r="F321" s="80">
        <f>'прил 12'!G508</f>
        <v>97500</v>
      </c>
      <c r="G321" s="94"/>
    </row>
    <row r="322" spans="1:9" outlineLevel="4">
      <c r="A322" s="45" t="s">
        <v>268</v>
      </c>
      <c r="B322" s="46" t="s">
        <v>111</v>
      </c>
      <c r="C322" s="46" t="s">
        <v>284</v>
      </c>
      <c r="D322" s="46" t="s">
        <v>6</v>
      </c>
      <c r="E322" s="80">
        <f>E323</f>
        <v>152000</v>
      </c>
      <c r="F322" s="80">
        <f>F323</f>
        <v>152000</v>
      </c>
      <c r="G322" s="94"/>
      <c r="I322" s="1" t="s">
        <v>51</v>
      </c>
    </row>
    <row r="323" spans="1:9" ht="40.65" customHeight="1" outlineLevel="5">
      <c r="A323" s="45" t="s">
        <v>37</v>
      </c>
      <c r="B323" s="46" t="s">
        <v>111</v>
      </c>
      <c r="C323" s="46" t="s">
        <v>284</v>
      </c>
      <c r="D323" s="46" t="s">
        <v>38</v>
      </c>
      <c r="E323" s="80">
        <f>E324</f>
        <v>152000</v>
      </c>
      <c r="F323" s="80">
        <f>F324</f>
        <v>152000</v>
      </c>
      <c r="G323" s="94"/>
    </row>
    <row r="324" spans="1:9" outlineLevel="6">
      <c r="A324" s="45" t="s">
        <v>74</v>
      </c>
      <c r="B324" s="46" t="s">
        <v>111</v>
      </c>
      <c r="C324" s="46" t="s">
        <v>284</v>
      </c>
      <c r="D324" s="46" t="s">
        <v>75</v>
      </c>
      <c r="E324" s="80">
        <f>'прил 12'!F511</f>
        <v>152000</v>
      </c>
      <c r="F324" s="80">
        <f>'прил 12'!G511</f>
        <v>152000</v>
      </c>
      <c r="G324" s="94"/>
    </row>
    <row r="325" spans="1:9" outlineLevel="6">
      <c r="A325" s="164" t="s">
        <v>311</v>
      </c>
      <c r="B325" s="163" t="s">
        <v>111</v>
      </c>
      <c r="C325" s="163" t="s">
        <v>538</v>
      </c>
      <c r="D325" s="163" t="s">
        <v>6</v>
      </c>
      <c r="E325" s="80">
        <f>E326</f>
        <v>400000</v>
      </c>
      <c r="F325" s="80">
        <f>F326</f>
        <v>200000</v>
      </c>
      <c r="G325" s="94"/>
    </row>
    <row r="326" spans="1:9" ht="36" outlineLevel="6">
      <c r="A326" s="164" t="s">
        <v>37</v>
      </c>
      <c r="B326" s="163" t="s">
        <v>111</v>
      </c>
      <c r="C326" s="163" t="s">
        <v>538</v>
      </c>
      <c r="D326" s="163" t="s">
        <v>38</v>
      </c>
      <c r="E326" s="80">
        <f>E327</f>
        <v>400000</v>
      </c>
      <c r="F326" s="80">
        <f>F327</f>
        <v>200000</v>
      </c>
      <c r="G326" s="94"/>
    </row>
    <row r="327" spans="1:9" outlineLevel="6">
      <c r="A327" s="164" t="s">
        <v>74</v>
      </c>
      <c r="B327" s="163" t="s">
        <v>111</v>
      </c>
      <c r="C327" s="163" t="s">
        <v>538</v>
      </c>
      <c r="D327" s="163" t="s">
        <v>75</v>
      </c>
      <c r="E327" s="80">
        <f>'прил 12'!F514</f>
        <v>400000</v>
      </c>
      <c r="F327" s="80">
        <f>'прил 12'!G514</f>
        <v>200000</v>
      </c>
      <c r="G327" s="94"/>
    </row>
    <row r="328" spans="1:9" ht="34.5" customHeight="1" outlineLevel="6">
      <c r="A328" s="200" t="s">
        <v>459</v>
      </c>
      <c r="B328" s="163" t="s">
        <v>111</v>
      </c>
      <c r="C328" s="163" t="s">
        <v>460</v>
      </c>
      <c r="D328" s="163" t="s">
        <v>6</v>
      </c>
      <c r="E328" s="80">
        <f>E329</f>
        <v>1400000</v>
      </c>
      <c r="F328" s="80">
        <f>F329</f>
        <v>100000</v>
      </c>
      <c r="G328" s="94"/>
    </row>
    <row r="329" spans="1:9" ht="36" outlineLevel="6">
      <c r="A329" s="164" t="s">
        <v>37</v>
      </c>
      <c r="B329" s="163" t="s">
        <v>111</v>
      </c>
      <c r="C329" s="163" t="s">
        <v>460</v>
      </c>
      <c r="D329" s="163" t="s">
        <v>38</v>
      </c>
      <c r="E329" s="80">
        <f>E330</f>
        <v>1400000</v>
      </c>
      <c r="F329" s="80">
        <f>F330</f>
        <v>100000</v>
      </c>
      <c r="G329" s="94"/>
    </row>
    <row r="330" spans="1:9" ht="17.399999999999999" customHeight="1" outlineLevel="6">
      <c r="A330" s="164" t="s">
        <v>74</v>
      </c>
      <c r="B330" s="163" t="s">
        <v>111</v>
      </c>
      <c r="C330" s="163" t="s">
        <v>460</v>
      </c>
      <c r="D330" s="163" t="s">
        <v>75</v>
      </c>
      <c r="E330" s="80">
        <f>'прил 12'!F517</f>
        <v>1400000</v>
      </c>
      <c r="F330" s="80">
        <f>'прил 12'!G517</f>
        <v>100000</v>
      </c>
      <c r="G330" s="94"/>
    </row>
    <row r="331" spans="1:9" ht="0.75" hidden="1" customHeight="1" outlineLevel="2">
      <c r="A331" s="45" t="s">
        <v>444</v>
      </c>
      <c r="B331" s="46" t="s">
        <v>111</v>
      </c>
      <c r="C331" s="46" t="s">
        <v>445</v>
      </c>
      <c r="D331" s="46" t="s">
        <v>6</v>
      </c>
      <c r="E331" s="80">
        <f>E332</f>
        <v>0</v>
      </c>
      <c r="F331" s="80">
        <f>F332</f>
        <v>0</v>
      </c>
      <c r="G331" s="94"/>
    </row>
    <row r="332" spans="1:9" ht="36" hidden="1" outlineLevel="4">
      <c r="A332" s="45" t="s">
        <v>37</v>
      </c>
      <c r="B332" s="46" t="s">
        <v>111</v>
      </c>
      <c r="C332" s="46" t="s">
        <v>445</v>
      </c>
      <c r="D332" s="46" t="s">
        <v>38</v>
      </c>
      <c r="E332" s="80">
        <f>E333</f>
        <v>0</v>
      </c>
      <c r="F332" s="80">
        <f>F333</f>
        <v>0</v>
      </c>
      <c r="G332" s="94"/>
    </row>
    <row r="333" spans="1:9" ht="21.15" hidden="1" customHeight="1" outlineLevel="5">
      <c r="A333" s="45" t="s">
        <v>74</v>
      </c>
      <c r="B333" s="46" t="s">
        <v>111</v>
      </c>
      <c r="C333" s="46" t="s">
        <v>445</v>
      </c>
      <c r="D333" s="46" t="s">
        <v>75</v>
      </c>
      <c r="E333" s="80">
        <f>'прил 12'!F525</f>
        <v>0</v>
      </c>
      <c r="F333" s="80">
        <v>0</v>
      </c>
      <c r="G333" s="94"/>
    </row>
    <row r="334" spans="1:9" outlineLevel="5">
      <c r="A334" s="45" t="s">
        <v>71</v>
      </c>
      <c r="B334" s="46" t="s">
        <v>72</v>
      </c>
      <c r="C334" s="46" t="s">
        <v>126</v>
      </c>
      <c r="D334" s="46" t="s">
        <v>6</v>
      </c>
      <c r="E334" s="80">
        <f>E335</f>
        <v>393443029.48000002</v>
      </c>
      <c r="F334" s="80">
        <f>F335</f>
        <v>410357303.31</v>
      </c>
      <c r="G334" s="94"/>
    </row>
    <row r="335" spans="1:9" ht="36" outlineLevel="6">
      <c r="A335" s="75" t="s">
        <v>853</v>
      </c>
      <c r="B335" s="61" t="s">
        <v>72</v>
      </c>
      <c r="C335" s="61" t="s">
        <v>138</v>
      </c>
      <c r="D335" s="61" t="s">
        <v>6</v>
      </c>
      <c r="E335" s="80">
        <f>E336</f>
        <v>393443029.48000002</v>
      </c>
      <c r="F335" s="80">
        <f>F336</f>
        <v>410357303.31</v>
      </c>
      <c r="G335" s="94"/>
    </row>
    <row r="336" spans="1:9" ht="36" outlineLevel="5">
      <c r="A336" s="45" t="s">
        <v>859</v>
      </c>
      <c r="B336" s="46" t="s">
        <v>72</v>
      </c>
      <c r="C336" s="46" t="s">
        <v>146</v>
      </c>
      <c r="D336" s="46" t="s">
        <v>6</v>
      </c>
      <c r="E336" s="80">
        <f>E337+E350+E363+E367</f>
        <v>393443029.48000002</v>
      </c>
      <c r="F336" s="80">
        <f>F337+F350+F363+F367</f>
        <v>410357303.31</v>
      </c>
      <c r="G336" s="94"/>
    </row>
    <row r="337" spans="1:7" ht="39.75" customHeight="1" outlineLevel="6">
      <c r="A337" s="48" t="s">
        <v>205</v>
      </c>
      <c r="B337" s="46" t="s">
        <v>72</v>
      </c>
      <c r="C337" s="46" t="s">
        <v>222</v>
      </c>
      <c r="D337" s="46" t="s">
        <v>6</v>
      </c>
      <c r="E337" s="80">
        <f>E338+E341+E344+E347</f>
        <v>383315369.17000002</v>
      </c>
      <c r="F337" s="80">
        <f>F338+F341+F344+F347</f>
        <v>400929643</v>
      </c>
      <c r="G337" s="94"/>
    </row>
    <row r="338" spans="1:7" ht="39.75" customHeight="1" outlineLevel="6">
      <c r="A338" s="50" t="s">
        <v>604</v>
      </c>
      <c r="B338" s="46" t="s">
        <v>72</v>
      </c>
      <c r="C338" s="46" t="s">
        <v>605</v>
      </c>
      <c r="D338" s="46" t="s">
        <v>6</v>
      </c>
      <c r="E338" s="80">
        <f>E339</f>
        <v>20475000</v>
      </c>
      <c r="F338" s="80">
        <f>F339</f>
        <v>23400000</v>
      </c>
      <c r="G338" s="94"/>
    </row>
    <row r="339" spans="1:7" ht="39.75" customHeight="1" outlineLevel="6">
      <c r="A339" s="45" t="s">
        <v>37</v>
      </c>
      <c r="B339" s="46" t="s">
        <v>72</v>
      </c>
      <c r="C339" s="46" t="s">
        <v>605</v>
      </c>
      <c r="D339" s="46" t="s">
        <v>38</v>
      </c>
      <c r="E339" s="80">
        <f>E340</f>
        <v>20475000</v>
      </c>
      <c r="F339" s="80">
        <f>F340</f>
        <v>23400000</v>
      </c>
      <c r="G339" s="94"/>
    </row>
    <row r="340" spans="1:7" ht="22.65" customHeight="1" outlineLevel="6">
      <c r="A340" s="45" t="s">
        <v>74</v>
      </c>
      <c r="B340" s="46" t="s">
        <v>72</v>
      </c>
      <c r="C340" s="46" t="s">
        <v>605</v>
      </c>
      <c r="D340" s="46" t="s">
        <v>75</v>
      </c>
      <c r="E340" s="80">
        <f>'прил 12'!F537</f>
        <v>20475000</v>
      </c>
      <c r="F340" s="80">
        <f>'прил 12'!G537</f>
        <v>23400000</v>
      </c>
      <c r="G340" s="94"/>
    </row>
    <row r="341" spans="1:7" ht="38.25" customHeight="1" outlineLevel="6">
      <c r="A341" s="45" t="s">
        <v>114</v>
      </c>
      <c r="B341" s="46" t="s">
        <v>72</v>
      </c>
      <c r="C341" s="46" t="s">
        <v>147</v>
      </c>
      <c r="D341" s="46" t="s">
        <v>6</v>
      </c>
      <c r="E341" s="80">
        <f>E342</f>
        <v>98708879.170000002</v>
      </c>
      <c r="F341" s="80">
        <f>F342</f>
        <v>98303417</v>
      </c>
      <c r="G341" s="94"/>
    </row>
    <row r="342" spans="1:7" ht="36" outlineLevel="6">
      <c r="A342" s="45" t="s">
        <v>37</v>
      </c>
      <c r="B342" s="46" t="s">
        <v>72</v>
      </c>
      <c r="C342" s="46" t="s">
        <v>147</v>
      </c>
      <c r="D342" s="46" t="s">
        <v>38</v>
      </c>
      <c r="E342" s="80">
        <f>E343</f>
        <v>98708879.170000002</v>
      </c>
      <c r="F342" s="80">
        <f>F343</f>
        <v>98303417</v>
      </c>
      <c r="G342" s="94"/>
    </row>
    <row r="343" spans="1:7" outlineLevel="6">
      <c r="A343" s="45" t="s">
        <v>74</v>
      </c>
      <c r="B343" s="46" t="s">
        <v>72</v>
      </c>
      <c r="C343" s="46" t="s">
        <v>147</v>
      </c>
      <c r="D343" s="46" t="s">
        <v>75</v>
      </c>
      <c r="E343" s="80">
        <f>'прил 12'!F540</f>
        <v>98708879.170000002</v>
      </c>
      <c r="F343" s="80">
        <f>'прил 12'!G540</f>
        <v>98303417</v>
      </c>
      <c r="G343" s="94"/>
    </row>
    <row r="344" spans="1:7" s="3" customFormat="1" ht="93.75" customHeight="1">
      <c r="A344" s="48" t="s">
        <v>400</v>
      </c>
      <c r="B344" s="46" t="s">
        <v>72</v>
      </c>
      <c r="C344" s="46" t="s">
        <v>148</v>
      </c>
      <c r="D344" s="46" t="s">
        <v>6</v>
      </c>
      <c r="E344" s="80">
        <f>E345</f>
        <v>253254890</v>
      </c>
      <c r="F344" s="80">
        <f>F345</f>
        <v>268349626</v>
      </c>
      <c r="G344" s="94"/>
    </row>
    <row r="345" spans="1:7" ht="36" outlineLevel="1">
      <c r="A345" s="45" t="s">
        <v>37</v>
      </c>
      <c r="B345" s="46" t="s">
        <v>72</v>
      </c>
      <c r="C345" s="46" t="s">
        <v>148</v>
      </c>
      <c r="D345" s="46" t="s">
        <v>38</v>
      </c>
      <c r="E345" s="80">
        <f>E346</f>
        <v>253254890</v>
      </c>
      <c r="F345" s="80">
        <f>F346</f>
        <v>268349626</v>
      </c>
      <c r="G345" s="94"/>
    </row>
    <row r="346" spans="1:7" ht="19.5" customHeight="1" outlineLevel="2">
      <c r="A346" s="45" t="s">
        <v>74</v>
      </c>
      <c r="B346" s="46" t="s">
        <v>72</v>
      </c>
      <c r="C346" s="46" t="s">
        <v>148</v>
      </c>
      <c r="D346" s="46" t="s">
        <v>75</v>
      </c>
      <c r="E346" s="80">
        <f>'прил 12'!F543</f>
        <v>253254890</v>
      </c>
      <c r="F346" s="80">
        <f>'прил 12'!G543</f>
        <v>268349626</v>
      </c>
      <c r="G346" s="94"/>
    </row>
    <row r="347" spans="1:7" ht="108" outlineLevel="2">
      <c r="A347" s="47" t="s">
        <v>471</v>
      </c>
      <c r="B347" s="46" t="s">
        <v>72</v>
      </c>
      <c r="C347" s="46" t="s">
        <v>472</v>
      </c>
      <c r="D347" s="46" t="s">
        <v>6</v>
      </c>
      <c r="E347" s="80">
        <f>E348</f>
        <v>10876600</v>
      </c>
      <c r="F347" s="80">
        <f>F348</f>
        <v>10876600</v>
      </c>
      <c r="G347" s="94"/>
    </row>
    <row r="348" spans="1:7" ht="36" outlineLevel="2">
      <c r="A348" s="45" t="s">
        <v>37</v>
      </c>
      <c r="B348" s="46" t="s">
        <v>72</v>
      </c>
      <c r="C348" s="46" t="s">
        <v>472</v>
      </c>
      <c r="D348" s="46" t="s">
        <v>38</v>
      </c>
      <c r="E348" s="80">
        <f>E349</f>
        <v>10876600</v>
      </c>
      <c r="F348" s="80">
        <f>F349</f>
        <v>10876600</v>
      </c>
      <c r="G348" s="94"/>
    </row>
    <row r="349" spans="1:7" outlineLevel="2">
      <c r="A349" s="45" t="s">
        <v>74</v>
      </c>
      <c r="B349" s="46" t="s">
        <v>72</v>
      </c>
      <c r="C349" s="46" t="s">
        <v>472</v>
      </c>
      <c r="D349" s="46" t="s">
        <v>75</v>
      </c>
      <c r="E349" s="80">
        <f>'прил 12'!F546</f>
        <v>10876600</v>
      </c>
      <c r="F349" s="80">
        <f>'прил 12'!G546</f>
        <v>10876600</v>
      </c>
      <c r="G349" s="94"/>
    </row>
    <row r="350" spans="1:7" ht="41.25" customHeight="1" outlineLevel="6">
      <c r="A350" s="76" t="s">
        <v>206</v>
      </c>
      <c r="B350" s="46" t="s">
        <v>72</v>
      </c>
      <c r="C350" s="46" t="s">
        <v>220</v>
      </c>
      <c r="D350" s="46" t="s">
        <v>6</v>
      </c>
      <c r="E350" s="80">
        <f>E360+E351+E354+E357</f>
        <v>1362800</v>
      </c>
      <c r="F350" s="80">
        <f>F360+F351+F354+F357</f>
        <v>662800</v>
      </c>
      <c r="G350" s="94"/>
    </row>
    <row r="351" spans="1:7" outlineLevel="6">
      <c r="A351" s="45" t="s">
        <v>268</v>
      </c>
      <c r="B351" s="46" t="s">
        <v>72</v>
      </c>
      <c r="C351" s="46" t="s">
        <v>269</v>
      </c>
      <c r="D351" s="46" t="s">
        <v>6</v>
      </c>
      <c r="E351" s="80">
        <f>E352</f>
        <v>212800</v>
      </c>
      <c r="F351" s="80">
        <f>F352</f>
        <v>212800</v>
      </c>
      <c r="G351" s="94"/>
    </row>
    <row r="352" spans="1:7" ht="36" outlineLevel="6">
      <c r="A352" s="45" t="s">
        <v>37</v>
      </c>
      <c r="B352" s="46" t="s">
        <v>72</v>
      </c>
      <c r="C352" s="46" t="s">
        <v>269</v>
      </c>
      <c r="D352" s="46" t="s">
        <v>38</v>
      </c>
      <c r="E352" s="80">
        <f>E353</f>
        <v>212800</v>
      </c>
      <c r="F352" s="80">
        <f>F353</f>
        <v>212800</v>
      </c>
      <c r="G352" s="94"/>
    </row>
    <row r="353" spans="1:7" outlineLevel="4">
      <c r="A353" s="45" t="s">
        <v>74</v>
      </c>
      <c r="B353" s="46" t="s">
        <v>72</v>
      </c>
      <c r="C353" s="46" t="s">
        <v>269</v>
      </c>
      <c r="D353" s="46" t="s">
        <v>75</v>
      </c>
      <c r="E353" s="80">
        <f>'прил 12'!F550</f>
        <v>212800</v>
      </c>
      <c r="F353" s="80">
        <f>'прил 12'!G550</f>
        <v>212800</v>
      </c>
      <c r="G353" s="94"/>
    </row>
    <row r="354" spans="1:7" outlineLevel="5">
      <c r="A354" s="74" t="s">
        <v>311</v>
      </c>
      <c r="B354" s="46" t="s">
        <v>72</v>
      </c>
      <c r="C354" s="46" t="s">
        <v>312</v>
      </c>
      <c r="D354" s="46" t="s">
        <v>6</v>
      </c>
      <c r="E354" s="80">
        <f>E355</f>
        <v>350000</v>
      </c>
      <c r="F354" s="80">
        <f>F355</f>
        <v>350000</v>
      </c>
      <c r="G354" s="94"/>
    </row>
    <row r="355" spans="1:7" ht="36" outlineLevel="6">
      <c r="A355" s="45" t="s">
        <v>37</v>
      </c>
      <c r="B355" s="46" t="s">
        <v>72</v>
      </c>
      <c r="C355" s="46" t="s">
        <v>312</v>
      </c>
      <c r="D355" s="46" t="s">
        <v>38</v>
      </c>
      <c r="E355" s="80">
        <f>E356</f>
        <v>350000</v>
      </c>
      <c r="F355" s="80">
        <f>F356</f>
        <v>350000</v>
      </c>
      <c r="G355" s="94"/>
    </row>
    <row r="356" spans="1:7" ht="19.5" customHeight="1" outlineLevel="6">
      <c r="A356" s="45" t="s">
        <v>74</v>
      </c>
      <c r="B356" s="46" t="s">
        <v>72</v>
      </c>
      <c r="C356" s="46" t="s">
        <v>312</v>
      </c>
      <c r="D356" s="46" t="s">
        <v>75</v>
      </c>
      <c r="E356" s="80">
        <f>'прил 12'!F553</f>
        <v>350000</v>
      </c>
      <c r="F356" s="80">
        <f>'прил 12'!G553</f>
        <v>350000</v>
      </c>
      <c r="G356" s="94"/>
    </row>
    <row r="357" spans="1:7" ht="18" customHeight="1" outlineLevel="6">
      <c r="A357" s="76" t="s">
        <v>459</v>
      </c>
      <c r="B357" s="46" t="s">
        <v>72</v>
      </c>
      <c r="C357" s="46" t="s">
        <v>734</v>
      </c>
      <c r="D357" s="46" t="s">
        <v>6</v>
      </c>
      <c r="E357" s="80">
        <f>E358</f>
        <v>800000</v>
      </c>
      <c r="F357" s="80">
        <f>F358</f>
        <v>100000</v>
      </c>
      <c r="G357" s="94"/>
    </row>
    <row r="358" spans="1:7" ht="19.5" customHeight="1" outlineLevel="6">
      <c r="A358" s="45" t="s">
        <v>37</v>
      </c>
      <c r="B358" s="46" t="s">
        <v>72</v>
      </c>
      <c r="C358" s="46" t="s">
        <v>734</v>
      </c>
      <c r="D358" s="46" t="s">
        <v>38</v>
      </c>
      <c r="E358" s="80">
        <f>E359</f>
        <v>800000</v>
      </c>
      <c r="F358" s="80">
        <f>F359</f>
        <v>100000</v>
      </c>
      <c r="G358" s="94"/>
    </row>
    <row r="359" spans="1:7" ht="18.75" customHeight="1" outlineLevel="6">
      <c r="A359" s="45" t="s">
        <v>74</v>
      </c>
      <c r="B359" s="46" t="s">
        <v>72</v>
      </c>
      <c r="C359" s="46" t="s">
        <v>734</v>
      </c>
      <c r="D359" s="46" t="s">
        <v>75</v>
      </c>
      <c r="E359" s="80">
        <f>'прил 12'!F556</f>
        <v>800000</v>
      </c>
      <c r="F359" s="80">
        <f>'прил 12'!G556</f>
        <v>100000</v>
      </c>
      <c r="G359" s="94"/>
    </row>
    <row r="360" spans="1:7" ht="19.5" hidden="1" customHeight="1" outlineLevel="6">
      <c r="A360" s="45" t="s">
        <v>446</v>
      </c>
      <c r="B360" s="46" t="s">
        <v>72</v>
      </c>
      <c r="C360" s="46" t="s">
        <v>447</v>
      </c>
      <c r="D360" s="46" t="s">
        <v>6</v>
      </c>
      <c r="E360" s="80">
        <f>E361</f>
        <v>0</v>
      </c>
      <c r="F360" s="80">
        <f>F361</f>
        <v>0</v>
      </c>
      <c r="G360" s="94"/>
    </row>
    <row r="361" spans="1:7" ht="41.25" hidden="1" customHeight="1" outlineLevel="6">
      <c r="A361" s="45" t="s">
        <v>37</v>
      </c>
      <c r="B361" s="46" t="s">
        <v>72</v>
      </c>
      <c r="C361" s="46" t="s">
        <v>447</v>
      </c>
      <c r="D361" s="46" t="s">
        <v>38</v>
      </c>
      <c r="E361" s="80">
        <f>E362</f>
        <v>0</v>
      </c>
      <c r="F361" s="80">
        <f>F362</f>
        <v>0</v>
      </c>
      <c r="G361" s="94"/>
    </row>
    <row r="362" spans="1:7" ht="19.5" hidden="1" customHeight="1" outlineLevel="6">
      <c r="A362" s="45" t="s">
        <v>74</v>
      </c>
      <c r="B362" s="46" t="s">
        <v>72</v>
      </c>
      <c r="C362" s="46" t="s">
        <v>447</v>
      </c>
      <c r="D362" s="46" t="s">
        <v>75</v>
      </c>
      <c r="E362" s="80">
        <f>'прил 12'!F562</f>
        <v>0</v>
      </c>
      <c r="F362" s="80">
        <f>'прил 12'!G562</f>
        <v>0</v>
      </c>
      <c r="G362" s="94"/>
    </row>
    <row r="363" spans="1:7" ht="36" outlineLevel="6">
      <c r="A363" s="76" t="s">
        <v>275</v>
      </c>
      <c r="B363" s="46" t="s">
        <v>72</v>
      </c>
      <c r="C363" s="46" t="s">
        <v>223</v>
      </c>
      <c r="D363" s="46" t="s">
        <v>6</v>
      </c>
      <c r="E363" s="80">
        <f t="shared" ref="E363:F365" si="21">E364</f>
        <v>6188850</v>
      </c>
      <c r="F363" s="80">
        <f t="shared" si="21"/>
        <v>6188850</v>
      </c>
      <c r="G363" s="94"/>
    </row>
    <row r="364" spans="1:7" ht="78" customHeight="1" outlineLevel="6">
      <c r="A364" s="50" t="s">
        <v>669</v>
      </c>
      <c r="B364" s="46" t="s">
        <v>72</v>
      </c>
      <c r="C364" s="46" t="s">
        <v>670</v>
      </c>
      <c r="D364" s="46" t="s">
        <v>6</v>
      </c>
      <c r="E364" s="80">
        <f t="shared" si="21"/>
        <v>6188850</v>
      </c>
      <c r="F364" s="80">
        <f t="shared" si="21"/>
        <v>6188850</v>
      </c>
      <c r="G364" s="94"/>
    </row>
    <row r="365" spans="1:7" ht="36" outlineLevel="6">
      <c r="A365" s="45" t="s">
        <v>37</v>
      </c>
      <c r="B365" s="46" t="s">
        <v>72</v>
      </c>
      <c r="C365" s="46" t="s">
        <v>670</v>
      </c>
      <c r="D365" s="46" t="s">
        <v>38</v>
      </c>
      <c r="E365" s="80">
        <f t="shared" si="21"/>
        <v>6188850</v>
      </c>
      <c r="F365" s="80">
        <f t="shared" si="21"/>
        <v>6188850</v>
      </c>
      <c r="G365" s="94"/>
    </row>
    <row r="366" spans="1:7" outlineLevel="6">
      <c r="A366" s="45" t="s">
        <v>74</v>
      </c>
      <c r="B366" s="46" t="s">
        <v>72</v>
      </c>
      <c r="C366" s="46" t="s">
        <v>670</v>
      </c>
      <c r="D366" s="46" t="s">
        <v>75</v>
      </c>
      <c r="E366" s="80">
        <f>'прил 12'!F566</f>
        <v>6188850</v>
      </c>
      <c r="F366" s="80">
        <f>'прил 12'!G566</f>
        <v>6188850</v>
      </c>
      <c r="G366" s="94"/>
    </row>
    <row r="367" spans="1:7" outlineLevel="6">
      <c r="A367" s="50" t="s">
        <v>469</v>
      </c>
      <c r="B367" s="46" t="s">
        <v>72</v>
      </c>
      <c r="C367" s="46" t="s">
        <v>313</v>
      </c>
      <c r="D367" s="46" t="s">
        <v>6</v>
      </c>
      <c r="E367" s="80">
        <f t="shared" ref="E367:F369" si="22">E368</f>
        <v>2576010.31</v>
      </c>
      <c r="F367" s="80">
        <f t="shared" si="22"/>
        <v>2576010.31</v>
      </c>
      <c r="G367" s="94"/>
    </row>
    <row r="368" spans="1:7" ht="36" outlineLevel="6">
      <c r="A368" s="45" t="s">
        <v>470</v>
      </c>
      <c r="B368" s="46" t="s">
        <v>72</v>
      </c>
      <c r="C368" s="46" t="s">
        <v>665</v>
      </c>
      <c r="D368" s="46" t="s">
        <v>6</v>
      </c>
      <c r="E368" s="80">
        <f t="shared" si="22"/>
        <v>2576010.31</v>
      </c>
      <c r="F368" s="80">
        <f t="shared" si="22"/>
        <v>2576010.31</v>
      </c>
      <c r="G368" s="94"/>
    </row>
    <row r="369" spans="1:7" ht="36" outlineLevel="6">
      <c r="A369" s="45" t="s">
        <v>37</v>
      </c>
      <c r="B369" s="46" t="s">
        <v>72</v>
      </c>
      <c r="C369" s="46" t="s">
        <v>665</v>
      </c>
      <c r="D369" s="46" t="s">
        <v>38</v>
      </c>
      <c r="E369" s="80">
        <f t="shared" si="22"/>
        <v>2576010.31</v>
      </c>
      <c r="F369" s="80">
        <f t="shared" si="22"/>
        <v>2576010.31</v>
      </c>
      <c r="G369" s="94"/>
    </row>
    <row r="370" spans="1:7" outlineLevel="6">
      <c r="A370" s="45" t="s">
        <v>74</v>
      </c>
      <c r="B370" s="46" t="s">
        <v>72</v>
      </c>
      <c r="C370" s="46" t="s">
        <v>665</v>
      </c>
      <c r="D370" s="46" t="s">
        <v>75</v>
      </c>
      <c r="E370" s="80">
        <f>'прил 12'!F570</f>
        <v>2576010.31</v>
      </c>
      <c r="F370" s="80">
        <f>'прил 12'!G570</f>
        <v>2576010.31</v>
      </c>
      <c r="G370" s="94"/>
    </row>
    <row r="371" spans="1:7" outlineLevel="5">
      <c r="A371" s="45" t="s">
        <v>257</v>
      </c>
      <c r="B371" s="46" t="s">
        <v>256</v>
      </c>
      <c r="C371" s="46" t="s">
        <v>126</v>
      </c>
      <c r="D371" s="46" t="s">
        <v>6</v>
      </c>
      <c r="E371" s="80">
        <f>E372+E389</f>
        <v>51857553.975999996</v>
      </c>
      <c r="F371" s="80">
        <f>F372+F389</f>
        <v>48265560.399999999</v>
      </c>
      <c r="G371" s="94"/>
    </row>
    <row r="372" spans="1:7" ht="36" outlineLevel="6">
      <c r="A372" s="75" t="s">
        <v>853</v>
      </c>
      <c r="B372" s="61" t="s">
        <v>256</v>
      </c>
      <c r="C372" s="61" t="s">
        <v>138</v>
      </c>
      <c r="D372" s="61" t="s">
        <v>6</v>
      </c>
      <c r="E372" s="80">
        <f>E373</f>
        <v>28310464</v>
      </c>
      <c r="F372" s="80">
        <f>F373</f>
        <v>28310467</v>
      </c>
      <c r="G372" s="94"/>
    </row>
    <row r="373" spans="1:7" ht="39.75" customHeight="1" outlineLevel="6">
      <c r="A373" s="45" t="s">
        <v>860</v>
      </c>
      <c r="B373" s="46" t="s">
        <v>256</v>
      </c>
      <c r="C373" s="46" t="s">
        <v>149</v>
      </c>
      <c r="D373" s="46" t="s">
        <v>6</v>
      </c>
      <c r="E373" s="80">
        <f>E374+E378+E385</f>
        <v>28310464</v>
      </c>
      <c r="F373" s="80">
        <f>F374+F378+F385</f>
        <v>28310467</v>
      </c>
      <c r="G373" s="94"/>
    </row>
    <row r="374" spans="1:7" ht="36" outlineLevel="6">
      <c r="A374" s="77" t="s">
        <v>207</v>
      </c>
      <c r="B374" s="46" t="s">
        <v>256</v>
      </c>
      <c r="C374" s="46" t="s">
        <v>224</v>
      </c>
      <c r="D374" s="46" t="s">
        <v>6</v>
      </c>
      <c r="E374" s="80">
        <f>E375</f>
        <v>26996964</v>
      </c>
      <c r="F374" s="80">
        <f t="shared" ref="E374:F376" si="23">F375</f>
        <v>26996967</v>
      </c>
      <c r="G374" s="94"/>
    </row>
    <row r="375" spans="1:7" ht="37.5" customHeight="1" outlineLevel="6">
      <c r="A375" s="45" t="s">
        <v>115</v>
      </c>
      <c r="B375" s="46" t="s">
        <v>256</v>
      </c>
      <c r="C375" s="46" t="s">
        <v>151</v>
      </c>
      <c r="D375" s="46" t="s">
        <v>6</v>
      </c>
      <c r="E375" s="80">
        <f t="shared" si="23"/>
        <v>26996964</v>
      </c>
      <c r="F375" s="80">
        <f t="shared" si="23"/>
        <v>26996967</v>
      </c>
      <c r="G375" s="94"/>
    </row>
    <row r="376" spans="1:7" ht="36" outlineLevel="6">
      <c r="A376" s="45" t="s">
        <v>37</v>
      </c>
      <c r="B376" s="46" t="s">
        <v>256</v>
      </c>
      <c r="C376" s="46" t="s">
        <v>151</v>
      </c>
      <c r="D376" s="46" t="s">
        <v>38</v>
      </c>
      <c r="E376" s="80">
        <f t="shared" si="23"/>
        <v>26996964</v>
      </c>
      <c r="F376" s="80">
        <f t="shared" si="23"/>
        <v>26996967</v>
      </c>
      <c r="G376" s="94"/>
    </row>
    <row r="377" spans="1:7" outlineLevel="6">
      <c r="A377" s="45" t="s">
        <v>74</v>
      </c>
      <c r="B377" s="46" t="s">
        <v>256</v>
      </c>
      <c r="C377" s="46" t="s">
        <v>151</v>
      </c>
      <c r="D377" s="46" t="s">
        <v>75</v>
      </c>
      <c r="E377" s="80">
        <f>'прил 12'!F577</f>
        <v>26996964</v>
      </c>
      <c r="F377" s="80">
        <f>'прил 12'!G577</f>
        <v>26996967</v>
      </c>
      <c r="G377" s="94"/>
    </row>
    <row r="378" spans="1:7" ht="36" outlineLevel="6">
      <c r="A378" s="48" t="s">
        <v>402</v>
      </c>
      <c r="B378" s="46" t="s">
        <v>256</v>
      </c>
      <c r="C378" s="46" t="s">
        <v>225</v>
      </c>
      <c r="D378" s="46" t="s">
        <v>6</v>
      </c>
      <c r="E378" s="80">
        <f>E379+E382</f>
        <v>110500</v>
      </c>
      <c r="F378" s="80">
        <f>F379+F382</f>
        <v>110500</v>
      </c>
      <c r="G378" s="94"/>
    </row>
    <row r="379" spans="1:7" outlineLevel="6">
      <c r="A379" s="45" t="s">
        <v>268</v>
      </c>
      <c r="B379" s="46" t="s">
        <v>256</v>
      </c>
      <c r="C379" s="46" t="s">
        <v>288</v>
      </c>
      <c r="D379" s="46" t="s">
        <v>6</v>
      </c>
      <c r="E379" s="80">
        <f>E380</f>
        <v>25000</v>
      </c>
      <c r="F379" s="80">
        <f>F380</f>
        <v>25000</v>
      </c>
      <c r="G379" s="94"/>
    </row>
    <row r="380" spans="1:7" ht="36" outlineLevel="6">
      <c r="A380" s="45" t="s">
        <v>37</v>
      </c>
      <c r="B380" s="46" t="s">
        <v>256</v>
      </c>
      <c r="C380" s="46" t="s">
        <v>288</v>
      </c>
      <c r="D380" s="46" t="s">
        <v>38</v>
      </c>
      <c r="E380" s="80">
        <f>E381</f>
        <v>25000</v>
      </c>
      <c r="F380" s="80">
        <f>F381</f>
        <v>25000</v>
      </c>
      <c r="G380" s="94"/>
    </row>
    <row r="381" spans="1:7" outlineLevel="6">
      <c r="A381" s="45" t="s">
        <v>74</v>
      </c>
      <c r="B381" s="46" t="s">
        <v>256</v>
      </c>
      <c r="C381" s="46" t="s">
        <v>288</v>
      </c>
      <c r="D381" s="46" t="s">
        <v>75</v>
      </c>
      <c r="E381" s="80">
        <f>'прил 12'!F581</f>
        <v>25000</v>
      </c>
      <c r="F381" s="80">
        <f>'прил 12'!G581</f>
        <v>25000</v>
      </c>
      <c r="G381" s="94"/>
    </row>
    <row r="382" spans="1:7" outlineLevel="6">
      <c r="A382" s="45" t="s">
        <v>112</v>
      </c>
      <c r="B382" s="46" t="s">
        <v>256</v>
      </c>
      <c r="C382" s="46" t="s">
        <v>150</v>
      </c>
      <c r="D382" s="46" t="s">
        <v>6</v>
      </c>
      <c r="E382" s="80">
        <f>E383</f>
        <v>85500</v>
      </c>
      <c r="F382" s="80">
        <f>F383</f>
        <v>85500</v>
      </c>
      <c r="G382" s="94"/>
    </row>
    <row r="383" spans="1:7" ht="36" outlineLevel="1">
      <c r="A383" s="45" t="s">
        <v>37</v>
      </c>
      <c r="B383" s="46" t="s">
        <v>256</v>
      </c>
      <c r="C383" s="46" t="s">
        <v>150</v>
      </c>
      <c r="D383" s="46" t="s">
        <v>38</v>
      </c>
      <c r="E383" s="80">
        <f>E384</f>
        <v>85500</v>
      </c>
      <c r="F383" s="80">
        <f>F384</f>
        <v>85500</v>
      </c>
      <c r="G383" s="94"/>
    </row>
    <row r="384" spans="1:7" ht="21.15" customHeight="1" outlineLevel="2">
      <c r="A384" s="45" t="s">
        <v>74</v>
      </c>
      <c r="B384" s="46" t="s">
        <v>256</v>
      </c>
      <c r="C384" s="46" t="s">
        <v>150</v>
      </c>
      <c r="D384" s="46" t="s">
        <v>75</v>
      </c>
      <c r="E384" s="80">
        <f>'прил 12'!F587</f>
        <v>85500</v>
      </c>
      <c r="F384" s="80">
        <f>'прил 12'!G587</f>
        <v>85500</v>
      </c>
      <c r="G384" s="94"/>
    </row>
    <row r="385" spans="1:7" ht="21.15" customHeight="1" outlineLevel="2">
      <c r="A385" s="45" t="s">
        <v>768</v>
      </c>
      <c r="B385" s="46" t="s">
        <v>256</v>
      </c>
      <c r="C385" s="46" t="s">
        <v>769</v>
      </c>
      <c r="D385" s="46" t="s">
        <v>6</v>
      </c>
      <c r="E385" s="80">
        <f t="shared" ref="E385:F387" si="24">E386</f>
        <v>1203000</v>
      </c>
      <c r="F385" s="80">
        <f t="shared" si="24"/>
        <v>1203000</v>
      </c>
      <c r="G385" s="94"/>
    </row>
    <row r="386" spans="1:7" ht="39.15" customHeight="1" outlineLevel="2">
      <c r="A386" s="45" t="s">
        <v>115</v>
      </c>
      <c r="B386" s="46" t="s">
        <v>256</v>
      </c>
      <c r="C386" s="46" t="s">
        <v>770</v>
      </c>
      <c r="D386" s="46" t="s">
        <v>6</v>
      </c>
      <c r="E386" s="80">
        <f t="shared" si="24"/>
        <v>1203000</v>
      </c>
      <c r="F386" s="80">
        <f t="shared" si="24"/>
        <v>1203000</v>
      </c>
      <c r="G386" s="94"/>
    </row>
    <row r="387" spans="1:7" ht="21.15" customHeight="1" outlineLevel="2">
      <c r="A387" s="45" t="s">
        <v>37</v>
      </c>
      <c r="B387" s="46" t="s">
        <v>256</v>
      </c>
      <c r="C387" s="46" t="s">
        <v>770</v>
      </c>
      <c r="D387" s="46" t="s">
        <v>38</v>
      </c>
      <c r="E387" s="80">
        <f t="shared" si="24"/>
        <v>1203000</v>
      </c>
      <c r="F387" s="80">
        <f t="shared" si="24"/>
        <v>1203000</v>
      </c>
      <c r="G387" s="94"/>
    </row>
    <row r="388" spans="1:7" ht="21.15" customHeight="1" outlineLevel="2">
      <c r="A388" s="45" t="s">
        <v>74</v>
      </c>
      <c r="B388" s="46" t="s">
        <v>256</v>
      </c>
      <c r="C388" s="46" t="s">
        <v>770</v>
      </c>
      <c r="D388" s="46" t="s">
        <v>75</v>
      </c>
      <c r="E388" s="80">
        <f>'прил 12'!F590</f>
        <v>1203000</v>
      </c>
      <c r="F388" s="80">
        <f>'прил 12'!G590</f>
        <v>1203000</v>
      </c>
      <c r="G388" s="94"/>
    </row>
    <row r="389" spans="1:7" s="72" customFormat="1" ht="36" outlineLevel="3">
      <c r="A389" s="75" t="s">
        <v>868</v>
      </c>
      <c r="B389" s="61" t="s">
        <v>256</v>
      </c>
      <c r="C389" s="61" t="s">
        <v>136</v>
      </c>
      <c r="D389" s="61" t="s">
        <v>6</v>
      </c>
      <c r="E389" s="81">
        <f>E390+E397</f>
        <v>23547089.976</v>
      </c>
      <c r="F389" s="81">
        <f>F390+F397</f>
        <v>19955093.399999999</v>
      </c>
      <c r="G389" s="109"/>
    </row>
    <row r="390" spans="1:7" ht="38.25" customHeight="1" outlineLevel="4">
      <c r="A390" s="45" t="s">
        <v>368</v>
      </c>
      <c r="B390" s="46" t="s">
        <v>256</v>
      </c>
      <c r="C390" s="46" t="s">
        <v>228</v>
      </c>
      <c r="D390" s="46" t="s">
        <v>6</v>
      </c>
      <c r="E390" s="80">
        <f>E391+E394</f>
        <v>19052341.359999999</v>
      </c>
      <c r="F390" s="80">
        <f>F391+F394</f>
        <v>19955093.399999999</v>
      </c>
      <c r="G390" s="94"/>
    </row>
    <row r="391" spans="1:7" ht="36" customHeight="1" outlineLevel="5">
      <c r="A391" s="45" t="s">
        <v>73</v>
      </c>
      <c r="B391" s="46" t="s">
        <v>256</v>
      </c>
      <c r="C391" s="46" t="s">
        <v>137</v>
      </c>
      <c r="D391" s="46" t="s">
        <v>6</v>
      </c>
      <c r="E391" s="80">
        <f t="shared" ref="E391:F392" si="25">E392</f>
        <v>19052341.359999999</v>
      </c>
      <c r="F391" s="80">
        <f t="shared" si="25"/>
        <v>19955093.399999999</v>
      </c>
      <c r="G391" s="94"/>
    </row>
    <row r="392" spans="1:7" ht="36" outlineLevel="6">
      <c r="A392" s="45" t="s">
        <v>37</v>
      </c>
      <c r="B392" s="46" t="s">
        <v>256</v>
      </c>
      <c r="C392" s="46" t="s">
        <v>137</v>
      </c>
      <c r="D392" s="46" t="s">
        <v>38</v>
      </c>
      <c r="E392" s="80">
        <f t="shared" si="25"/>
        <v>19052341.359999999</v>
      </c>
      <c r="F392" s="80">
        <f t="shared" si="25"/>
        <v>19955093.399999999</v>
      </c>
      <c r="G392" s="94"/>
    </row>
    <row r="393" spans="1:7" ht="18" customHeight="1" outlineLevel="5">
      <c r="A393" s="45" t="s">
        <v>74</v>
      </c>
      <c r="B393" s="46" t="s">
        <v>256</v>
      </c>
      <c r="C393" s="46" t="s">
        <v>137</v>
      </c>
      <c r="D393" s="46" t="s">
        <v>75</v>
      </c>
      <c r="E393" s="80">
        <f>'прил 12'!F344</f>
        <v>19052341.359999999</v>
      </c>
      <c r="F393" s="80">
        <f>'прил 12'!G344</f>
        <v>19955093.399999999</v>
      </c>
      <c r="G393" s="94"/>
    </row>
    <row r="394" spans="1:7" ht="72" hidden="1" outlineLevel="5">
      <c r="A394" s="123" t="s">
        <v>724</v>
      </c>
      <c r="B394" s="46" t="s">
        <v>256</v>
      </c>
      <c r="C394" s="46" t="s">
        <v>725</v>
      </c>
      <c r="D394" s="46" t="s">
        <v>6</v>
      </c>
      <c r="E394" s="80">
        <f>E395</f>
        <v>0</v>
      </c>
      <c r="F394" s="80">
        <v>0</v>
      </c>
      <c r="G394" s="94"/>
    </row>
    <row r="395" spans="1:7" ht="36" hidden="1" outlineLevel="5">
      <c r="A395" s="45" t="s">
        <v>37</v>
      </c>
      <c r="B395" s="46" t="s">
        <v>256</v>
      </c>
      <c r="C395" s="46" t="s">
        <v>725</v>
      </c>
      <c r="D395" s="46" t="s">
        <v>38</v>
      </c>
      <c r="E395" s="80">
        <f>E396</f>
        <v>0</v>
      </c>
      <c r="F395" s="80">
        <v>0</v>
      </c>
      <c r="G395" s="94"/>
    </row>
    <row r="396" spans="1:7" hidden="1" outlineLevel="5">
      <c r="A396" s="123" t="s">
        <v>74</v>
      </c>
      <c r="B396" s="46" t="s">
        <v>256</v>
      </c>
      <c r="C396" s="46" t="s">
        <v>725</v>
      </c>
      <c r="D396" s="46" t="s">
        <v>75</v>
      </c>
      <c r="E396" s="80">
        <v>0</v>
      </c>
      <c r="F396" s="80">
        <v>0</v>
      </c>
      <c r="G396" s="94"/>
    </row>
    <row r="397" spans="1:7" outlineLevel="5">
      <c r="A397" s="133" t="s">
        <v>608</v>
      </c>
      <c r="B397" s="61" t="s">
        <v>256</v>
      </c>
      <c r="C397" s="61" t="s">
        <v>609</v>
      </c>
      <c r="D397" s="61" t="s">
        <v>6</v>
      </c>
      <c r="E397" s="80">
        <f t="shared" ref="E397:F399" si="26">E398</f>
        <v>4494748.6160000004</v>
      </c>
      <c r="F397" s="80">
        <f t="shared" si="26"/>
        <v>0</v>
      </c>
      <c r="G397" s="94"/>
    </row>
    <row r="398" spans="1:7" ht="72" outlineLevel="5">
      <c r="A398" s="47" t="s">
        <v>586</v>
      </c>
      <c r="B398" s="46" t="s">
        <v>256</v>
      </c>
      <c r="C398" s="46" t="s">
        <v>610</v>
      </c>
      <c r="D398" s="46" t="s">
        <v>6</v>
      </c>
      <c r="E398" s="80">
        <f t="shared" si="26"/>
        <v>4494748.6160000004</v>
      </c>
      <c r="F398" s="80">
        <f t="shared" si="26"/>
        <v>0</v>
      </c>
      <c r="G398" s="94"/>
    </row>
    <row r="399" spans="1:7" ht="36" outlineLevel="5">
      <c r="A399" s="45" t="s">
        <v>37</v>
      </c>
      <c r="B399" s="46" t="s">
        <v>256</v>
      </c>
      <c r="C399" s="46" t="s">
        <v>610</v>
      </c>
      <c r="D399" s="46" t="s">
        <v>38</v>
      </c>
      <c r="E399" s="80">
        <f t="shared" si="26"/>
        <v>4494748.6160000004</v>
      </c>
      <c r="F399" s="80">
        <f t="shared" si="26"/>
        <v>0</v>
      </c>
      <c r="G399" s="94"/>
    </row>
    <row r="400" spans="1:7" outlineLevel="5">
      <c r="A400" s="123" t="s">
        <v>74</v>
      </c>
      <c r="B400" s="46" t="s">
        <v>256</v>
      </c>
      <c r="C400" s="46" t="s">
        <v>610</v>
      </c>
      <c r="D400" s="46" t="s">
        <v>75</v>
      </c>
      <c r="E400" s="80">
        <f>'прил 12'!F351</f>
        <v>4494748.6160000004</v>
      </c>
      <c r="F400" s="80">
        <f>'прил 12'!G351</f>
        <v>0</v>
      </c>
      <c r="G400" s="94"/>
    </row>
    <row r="401" spans="1:7" outlineLevel="6">
      <c r="A401" s="45" t="s">
        <v>76</v>
      </c>
      <c r="B401" s="46" t="s">
        <v>77</v>
      </c>
      <c r="C401" s="46" t="s">
        <v>126</v>
      </c>
      <c r="D401" s="46" t="s">
        <v>6</v>
      </c>
      <c r="E401" s="80">
        <f>E402</f>
        <v>2042300</v>
      </c>
      <c r="F401" s="80">
        <f>F402</f>
        <v>2042300</v>
      </c>
      <c r="G401" s="94"/>
    </row>
    <row r="402" spans="1:7" s="131" customFormat="1" ht="36">
      <c r="A402" s="75" t="s">
        <v>853</v>
      </c>
      <c r="B402" s="61" t="s">
        <v>77</v>
      </c>
      <c r="C402" s="61" t="s">
        <v>138</v>
      </c>
      <c r="D402" s="61" t="s">
        <v>6</v>
      </c>
      <c r="E402" s="81">
        <f>E403+E416</f>
        <v>2042300</v>
      </c>
      <c r="F402" s="81">
        <f>F403+F416</f>
        <v>2042300</v>
      </c>
      <c r="G402" s="109"/>
    </row>
    <row r="403" spans="1:7" ht="18" customHeight="1" outlineLevel="1">
      <c r="A403" s="45" t="s">
        <v>398</v>
      </c>
      <c r="B403" s="46" t="s">
        <v>77</v>
      </c>
      <c r="C403" s="46" t="s">
        <v>146</v>
      </c>
      <c r="D403" s="46" t="s">
        <v>6</v>
      </c>
      <c r="E403" s="80">
        <f>E404+E408</f>
        <v>1917300</v>
      </c>
      <c r="F403" s="80">
        <f>F404+F408</f>
        <v>1917300</v>
      </c>
      <c r="G403" s="94"/>
    </row>
    <row r="404" spans="1:7" ht="36" outlineLevel="2">
      <c r="A404" s="76" t="s">
        <v>206</v>
      </c>
      <c r="B404" s="46" t="s">
        <v>77</v>
      </c>
      <c r="C404" s="46" t="s">
        <v>220</v>
      </c>
      <c r="D404" s="46" t="s">
        <v>6</v>
      </c>
      <c r="E404" s="80">
        <f t="shared" ref="E404:F406" si="27">E405</f>
        <v>70000</v>
      </c>
      <c r="F404" s="80">
        <f t="shared" si="27"/>
        <v>70000</v>
      </c>
      <c r="G404" s="94"/>
    </row>
    <row r="405" spans="1:7" ht="18" customHeight="1" outlineLevel="2">
      <c r="A405" s="45" t="s">
        <v>424</v>
      </c>
      <c r="B405" s="46" t="s">
        <v>77</v>
      </c>
      <c r="C405" s="46" t="s">
        <v>235</v>
      </c>
      <c r="D405" s="46" t="s">
        <v>6</v>
      </c>
      <c r="E405" s="80">
        <f t="shared" si="27"/>
        <v>70000</v>
      </c>
      <c r="F405" s="80">
        <f t="shared" si="27"/>
        <v>70000</v>
      </c>
      <c r="G405" s="94"/>
    </row>
    <row r="406" spans="1:7" ht="18" customHeight="1" outlineLevel="2">
      <c r="A406" s="45" t="s">
        <v>15</v>
      </c>
      <c r="B406" s="46" t="s">
        <v>77</v>
      </c>
      <c r="C406" s="46" t="s">
        <v>235</v>
      </c>
      <c r="D406" s="46" t="s">
        <v>16</v>
      </c>
      <c r="E406" s="80">
        <f t="shared" si="27"/>
        <v>70000</v>
      </c>
      <c r="F406" s="80">
        <f t="shared" si="27"/>
        <v>70000</v>
      </c>
      <c r="G406" s="94"/>
    </row>
    <row r="407" spans="1:7" ht="36" outlineLevel="2">
      <c r="A407" s="45" t="s">
        <v>17</v>
      </c>
      <c r="B407" s="46" t="s">
        <v>77</v>
      </c>
      <c r="C407" s="46" t="s">
        <v>235</v>
      </c>
      <c r="D407" s="46" t="s">
        <v>18</v>
      </c>
      <c r="E407" s="80">
        <f>'прил 12'!F600</f>
        <v>70000</v>
      </c>
      <c r="F407" s="80">
        <f>'прил 12'!G600</f>
        <v>70000</v>
      </c>
      <c r="G407" s="94"/>
    </row>
    <row r="408" spans="1:7" ht="42" customHeight="1" outlineLevel="1">
      <c r="A408" s="76" t="s">
        <v>275</v>
      </c>
      <c r="B408" s="46" t="s">
        <v>77</v>
      </c>
      <c r="C408" s="46" t="s">
        <v>223</v>
      </c>
      <c r="D408" s="46" t="s">
        <v>6</v>
      </c>
      <c r="E408" s="80">
        <f>E409</f>
        <v>1847300</v>
      </c>
      <c r="F408" s="80">
        <f>F409</f>
        <v>1847300</v>
      </c>
      <c r="G408" s="94"/>
    </row>
    <row r="409" spans="1:7" ht="87" customHeight="1" outlineLevel="1">
      <c r="A409" s="28" t="s">
        <v>403</v>
      </c>
      <c r="B409" s="46" t="s">
        <v>77</v>
      </c>
      <c r="C409" s="46" t="s">
        <v>152</v>
      </c>
      <c r="D409" s="46" t="s">
        <v>6</v>
      </c>
      <c r="E409" s="80">
        <f>E410+E412+E414</f>
        <v>1847300</v>
      </c>
      <c r="F409" s="80">
        <f>F410+F412+F414</f>
        <v>1847300</v>
      </c>
      <c r="G409" s="94"/>
    </row>
    <row r="410" spans="1:7" ht="42" customHeight="1" outlineLevel="1">
      <c r="A410" s="45" t="s">
        <v>15</v>
      </c>
      <c r="B410" s="46" t="s">
        <v>77</v>
      </c>
      <c r="C410" s="46" t="s">
        <v>152</v>
      </c>
      <c r="D410" s="46" t="s">
        <v>16</v>
      </c>
      <c r="E410" s="80">
        <f>E411</f>
        <v>2000</v>
      </c>
      <c r="F410" s="80">
        <f>F411</f>
        <v>2000</v>
      </c>
      <c r="G410" s="94"/>
    </row>
    <row r="411" spans="1:7" ht="42" customHeight="1" outlineLevel="1">
      <c r="A411" s="45" t="s">
        <v>17</v>
      </c>
      <c r="B411" s="46" t="s">
        <v>77</v>
      </c>
      <c r="C411" s="46" t="s">
        <v>152</v>
      </c>
      <c r="D411" s="46" t="s">
        <v>18</v>
      </c>
      <c r="E411" s="80">
        <f>'прил 12'!F604</f>
        <v>2000</v>
      </c>
      <c r="F411" s="80">
        <f>'прил 12'!G604</f>
        <v>2000</v>
      </c>
      <c r="G411" s="94"/>
    </row>
    <row r="412" spans="1:7" ht="24" customHeight="1" outlineLevel="1">
      <c r="A412" s="45" t="s">
        <v>90</v>
      </c>
      <c r="B412" s="46" t="s">
        <v>77</v>
      </c>
      <c r="C412" s="46" t="s">
        <v>152</v>
      </c>
      <c r="D412" s="46" t="s">
        <v>91</v>
      </c>
      <c r="E412" s="80">
        <f>E413</f>
        <v>320000</v>
      </c>
      <c r="F412" s="80">
        <f>F413</f>
        <v>320000</v>
      </c>
      <c r="G412" s="94"/>
    </row>
    <row r="413" spans="1:7" ht="24" customHeight="1" outlineLevel="1">
      <c r="A413" s="45" t="s">
        <v>97</v>
      </c>
      <c r="B413" s="46" t="s">
        <v>77</v>
      </c>
      <c r="C413" s="46" t="s">
        <v>152</v>
      </c>
      <c r="D413" s="46" t="s">
        <v>98</v>
      </c>
      <c r="E413" s="80">
        <f>'прил 12'!F606</f>
        <v>320000</v>
      </c>
      <c r="F413" s="80">
        <f>'прил 12'!G606</f>
        <v>320000</v>
      </c>
      <c r="G413" s="94"/>
    </row>
    <row r="414" spans="1:7" ht="24" customHeight="1" outlineLevel="1">
      <c r="A414" s="45" t="s">
        <v>37</v>
      </c>
      <c r="B414" s="46" t="s">
        <v>77</v>
      </c>
      <c r="C414" s="46" t="s">
        <v>152</v>
      </c>
      <c r="D414" s="46" t="s">
        <v>38</v>
      </c>
      <c r="E414" s="80">
        <f>E415</f>
        <v>1525300</v>
      </c>
      <c r="F414" s="80">
        <f>F415</f>
        <v>1525300</v>
      </c>
      <c r="G414" s="94"/>
    </row>
    <row r="415" spans="1:7" ht="24" customHeight="1" outlineLevel="1">
      <c r="A415" s="45" t="s">
        <v>74</v>
      </c>
      <c r="B415" s="46" t="s">
        <v>77</v>
      </c>
      <c r="C415" s="46" t="s">
        <v>152</v>
      </c>
      <c r="D415" s="46" t="s">
        <v>75</v>
      </c>
      <c r="E415" s="80">
        <f>'прил 12'!F608</f>
        <v>1525300</v>
      </c>
      <c r="F415" s="80">
        <f>'прил 12'!G608</f>
        <v>1525300</v>
      </c>
      <c r="G415" s="94"/>
    </row>
    <row r="416" spans="1:7" ht="24" customHeight="1" outlineLevel="1">
      <c r="A416" s="50" t="s">
        <v>238</v>
      </c>
      <c r="B416" s="46" t="s">
        <v>77</v>
      </c>
      <c r="C416" s="46" t="s">
        <v>237</v>
      </c>
      <c r="D416" s="46" t="s">
        <v>6</v>
      </c>
      <c r="E416" s="80">
        <f>E417</f>
        <v>125000</v>
      </c>
      <c r="F416" s="80">
        <f>F417</f>
        <v>125000</v>
      </c>
      <c r="G416" s="94"/>
    </row>
    <row r="417" spans="1:7" outlineLevel="2">
      <c r="A417" s="45" t="s">
        <v>78</v>
      </c>
      <c r="B417" s="46" t="s">
        <v>77</v>
      </c>
      <c r="C417" s="46" t="s">
        <v>153</v>
      </c>
      <c r="D417" s="46" t="s">
        <v>6</v>
      </c>
      <c r="E417" s="80">
        <f t="shared" ref="E417:F418" si="28">E418</f>
        <v>125000</v>
      </c>
      <c r="F417" s="80">
        <f t="shared" si="28"/>
        <v>125000</v>
      </c>
      <c r="G417" s="94"/>
    </row>
    <row r="418" spans="1:7" ht="18.75" customHeight="1" outlineLevel="3">
      <c r="A418" s="45" t="s">
        <v>15</v>
      </c>
      <c r="B418" s="46" t="s">
        <v>77</v>
      </c>
      <c r="C418" s="46" t="s">
        <v>153</v>
      </c>
      <c r="D418" s="46" t="s">
        <v>16</v>
      </c>
      <c r="E418" s="80">
        <f t="shared" si="28"/>
        <v>125000</v>
      </c>
      <c r="F418" s="80">
        <f t="shared" si="28"/>
        <v>125000</v>
      </c>
      <c r="G418" s="94"/>
    </row>
    <row r="419" spans="1:7" ht="39.15" customHeight="1" outlineLevel="4">
      <c r="A419" s="45" t="s">
        <v>17</v>
      </c>
      <c r="B419" s="46" t="s">
        <v>77</v>
      </c>
      <c r="C419" s="46" t="s">
        <v>153</v>
      </c>
      <c r="D419" s="46" t="s">
        <v>18</v>
      </c>
      <c r="E419" s="80">
        <f>'прил 12'!F612</f>
        <v>125000</v>
      </c>
      <c r="F419" s="80">
        <f>'прил 12'!G612</f>
        <v>125000</v>
      </c>
      <c r="G419" s="94"/>
    </row>
    <row r="420" spans="1:7" outlineLevel="5">
      <c r="A420" s="45" t="s">
        <v>116</v>
      </c>
      <c r="B420" s="46" t="s">
        <v>117</v>
      </c>
      <c r="C420" s="46" t="s">
        <v>126</v>
      </c>
      <c r="D420" s="46" t="s">
        <v>6</v>
      </c>
      <c r="E420" s="80">
        <f>E421</f>
        <v>21748475</v>
      </c>
      <c r="F420" s="80">
        <f>F421</f>
        <v>21748475</v>
      </c>
      <c r="G420" s="94"/>
    </row>
    <row r="421" spans="1:7" ht="36" outlineLevel="6">
      <c r="A421" s="75" t="s">
        <v>855</v>
      </c>
      <c r="B421" s="61" t="s">
        <v>117</v>
      </c>
      <c r="C421" s="61" t="s">
        <v>138</v>
      </c>
      <c r="D421" s="61" t="s">
        <v>6</v>
      </c>
      <c r="E421" s="80">
        <f>E422</f>
        <v>21748475</v>
      </c>
      <c r="F421" s="80">
        <f>F422</f>
        <v>21748475</v>
      </c>
      <c r="G421" s="94"/>
    </row>
    <row r="422" spans="1:7" s="3" customFormat="1" ht="39.75" customHeight="1">
      <c r="A422" s="48" t="s">
        <v>209</v>
      </c>
      <c r="B422" s="46" t="s">
        <v>117</v>
      </c>
      <c r="C422" s="46" t="s">
        <v>226</v>
      </c>
      <c r="D422" s="46" t="s">
        <v>6</v>
      </c>
      <c r="E422" s="80">
        <f>E423+E430+E437</f>
        <v>21748475</v>
      </c>
      <c r="F422" s="80">
        <f>F423+F430+F437</f>
        <v>21748475</v>
      </c>
      <c r="G422" s="94"/>
    </row>
    <row r="423" spans="1:7" ht="39.15" customHeight="1" outlineLevel="1">
      <c r="A423" s="45" t="s">
        <v>498</v>
      </c>
      <c r="B423" s="46" t="s">
        <v>117</v>
      </c>
      <c r="C423" s="46" t="s">
        <v>539</v>
      </c>
      <c r="D423" s="46" t="s">
        <v>6</v>
      </c>
      <c r="E423" s="80">
        <f>E424+E426+E428</f>
        <v>5189242</v>
      </c>
      <c r="F423" s="80">
        <f>F424+F426+F428</f>
        <v>5189242</v>
      </c>
      <c r="G423" s="94"/>
    </row>
    <row r="424" spans="1:7" ht="36.75" customHeight="1" outlineLevel="2">
      <c r="A424" s="45" t="s">
        <v>11</v>
      </c>
      <c r="B424" s="46" t="s">
        <v>117</v>
      </c>
      <c r="C424" s="46" t="s">
        <v>539</v>
      </c>
      <c r="D424" s="46" t="s">
        <v>12</v>
      </c>
      <c r="E424" s="80">
        <f>E425</f>
        <v>5089242</v>
      </c>
      <c r="F424" s="80">
        <f>F425</f>
        <v>5089242</v>
      </c>
      <c r="G424" s="94"/>
    </row>
    <row r="425" spans="1:7" ht="18" customHeight="1" outlineLevel="4">
      <c r="A425" s="45" t="s">
        <v>13</v>
      </c>
      <c r="B425" s="46" t="s">
        <v>117</v>
      </c>
      <c r="C425" s="46" t="s">
        <v>539</v>
      </c>
      <c r="D425" s="46" t="s">
        <v>14</v>
      </c>
      <c r="E425" s="80">
        <f>'прил 12'!F618</f>
        <v>5089242</v>
      </c>
      <c r="F425" s="80">
        <f>'прил 12'!G618</f>
        <v>5089242</v>
      </c>
      <c r="G425" s="94"/>
    </row>
    <row r="426" spans="1:7" ht="18" customHeight="1" outlineLevel="5">
      <c r="A426" s="45" t="s">
        <v>15</v>
      </c>
      <c r="B426" s="46" t="s">
        <v>117</v>
      </c>
      <c r="C426" s="46" t="s">
        <v>539</v>
      </c>
      <c r="D426" s="46" t="s">
        <v>16</v>
      </c>
      <c r="E426" s="80">
        <f>E427</f>
        <v>100000</v>
      </c>
      <c r="F426" s="80">
        <f>F427</f>
        <v>100000</v>
      </c>
      <c r="G426" s="94"/>
    </row>
    <row r="427" spans="1:7" ht="36" customHeight="1" outlineLevel="6">
      <c r="A427" s="45" t="s">
        <v>17</v>
      </c>
      <c r="B427" s="46" t="s">
        <v>117</v>
      </c>
      <c r="C427" s="46" t="s">
        <v>539</v>
      </c>
      <c r="D427" s="46" t="s">
        <v>18</v>
      </c>
      <c r="E427" s="80">
        <f>'прил 12'!F620</f>
        <v>100000</v>
      </c>
      <c r="F427" s="80">
        <f>'прил 12'!G620</f>
        <v>100000</v>
      </c>
      <c r="G427" s="94"/>
    </row>
    <row r="428" spans="1:7" hidden="1" outlineLevel="4">
      <c r="A428" s="45" t="s">
        <v>19</v>
      </c>
      <c r="B428" s="46" t="s">
        <v>117</v>
      </c>
      <c r="C428" s="46" t="s">
        <v>539</v>
      </c>
      <c r="D428" s="46" t="s">
        <v>20</v>
      </c>
      <c r="E428" s="80">
        <f>E429</f>
        <v>0</v>
      </c>
      <c r="F428" s="80">
        <f>F429</f>
        <v>0</v>
      </c>
      <c r="G428" s="94"/>
    </row>
    <row r="429" spans="1:7" hidden="1" outlineLevel="5">
      <c r="A429" s="45" t="s">
        <v>21</v>
      </c>
      <c r="B429" s="46" t="s">
        <v>117</v>
      </c>
      <c r="C429" s="46" t="s">
        <v>539</v>
      </c>
      <c r="D429" s="46" t="s">
        <v>22</v>
      </c>
      <c r="E429" s="80">
        <f>'прил 12'!F622</f>
        <v>0</v>
      </c>
      <c r="F429" s="80">
        <f>'прил 12'!G622</f>
        <v>0</v>
      </c>
      <c r="G429" s="94"/>
    </row>
    <row r="430" spans="1:7" ht="36" outlineLevel="6">
      <c r="A430" s="45" t="s">
        <v>33</v>
      </c>
      <c r="B430" s="46" t="s">
        <v>117</v>
      </c>
      <c r="C430" s="46" t="s">
        <v>154</v>
      </c>
      <c r="D430" s="46" t="s">
        <v>6</v>
      </c>
      <c r="E430" s="80">
        <f>E431+E433+E435</f>
        <v>14477700</v>
      </c>
      <c r="F430" s="80">
        <f>F431+F433+F435</f>
        <v>14477700</v>
      </c>
      <c r="G430" s="94"/>
    </row>
    <row r="431" spans="1:7" s="3" customFormat="1" ht="54.75" customHeight="1">
      <c r="A431" s="45" t="s">
        <v>11</v>
      </c>
      <c r="B431" s="46" t="s">
        <v>117</v>
      </c>
      <c r="C431" s="46" t="s">
        <v>154</v>
      </c>
      <c r="D431" s="46" t="s">
        <v>12</v>
      </c>
      <c r="E431" s="80">
        <f>E432</f>
        <v>11638500</v>
      </c>
      <c r="F431" s="80">
        <f>F432</f>
        <v>11638500</v>
      </c>
      <c r="G431" s="94"/>
    </row>
    <row r="432" spans="1:7">
      <c r="A432" s="45" t="s">
        <v>34</v>
      </c>
      <c r="B432" s="46" t="s">
        <v>117</v>
      </c>
      <c r="C432" s="46" t="s">
        <v>154</v>
      </c>
      <c r="D432" s="46" t="s">
        <v>35</v>
      </c>
      <c r="E432" s="80">
        <f>'прил 12'!F625</f>
        <v>11638500</v>
      </c>
      <c r="F432" s="80">
        <f>'прил 12'!G625</f>
        <v>11638500</v>
      </c>
      <c r="G432" s="94"/>
    </row>
    <row r="433" spans="1:9" ht="18" customHeight="1">
      <c r="A433" s="45" t="s">
        <v>15</v>
      </c>
      <c r="B433" s="46" t="s">
        <v>117</v>
      </c>
      <c r="C433" s="46" t="s">
        <v>154</v>
      </c>
      <c r="D433" s="46" t="s">
        <v>16</v>
      </c>
      <c r="E433" s="80">
        <f>E434</f>
        <v>2800000</v>
      </c>
      <c r="F433" s="80">
        <f>F434</f>
        <v>2800000</v>
      </c>
      <c r="G433" s="94"/>
    </row>
    <row r="434" spans="1:9" ht="36">
      <c r="A434" s="45" t="s">
        <v>17</v>
      </c>
      <c r="B434" s="46" t="s">
        <v>117</v>
      </c>
      <c r="C434" s="46" t="s">
        <v>154</v>
      </c>
      <c r="D434" s="46" t="s">
        <v>18</v>
      </c>
      <c r="E434" s="80">
        <f>'прил 12'!F627</f>
        <v>2800000</v>
      </c>
      <c r="F434" s="80">
        <f>'прил 12'!G627</f>
        <v>2800000</v>
      </c>
      <c r="G434" s="94"/>
      <c r="H434" s="69"/>
      <c r="I434" s="69"/>
    </row>
    <row r="435" spans="1:9">
      <c r="A435" s="45" t="s">
        <v>19</v>
      </c>
      <c r="B435" s="46" t="s">
        <v>117</v>
      </c>
      <c r="C435" s="46" t="s">
        <v>154</v>
      </c>
      <c r="D435" s="46" t="s">
        <v>20</v>
      </c>
      <c r="E435" s="80">
        <f>E436</f>
        <v>39200</v>
      </c>
      <c r="F435" s="80">
        <f>F436</f>
        <v>39200</v>
      </c>
      <c r="G435" s="94"/>
      <c r="H435" s="69"/>
      <c r="I435" s="69"/>
    </row>
    <row r="436" spans="1:9">
      <c r="A436" s="45" t="s">
        <v>21</v>
      </c>
      <c r="B436" s="46" t="s">
        <v>117</v>
      </c>
      <c r="C436" s="46" t="s">
        <v>154</v>
      </c>
      <c r="D436" s="46" t="s">
        <v>22</v>
      </c>
      <c r="E436" s="80">
        <f>'прил 12'!F629</f>
        <v>39200</v>
      </c>
      <c r="F436" s="80">
        <f>'прил 12'!G629</f>
        <v>39200</v>
      </c>
      <c r="G436" s="94"/>
      <c r="H436" s="69"/>
      <c r="I436" s="69"/>
    </row>
    <row r="437" spans="1:9" ht="39.15" customHeight="1">
      <c r="A437" s="50" t="s">
        <v>36</v>
      </c>
      <c r="B437" s="46" t="s">
        <v>117</v>
      </c>
      <c r="C437" s="46" t="s">
        <v>155</v>
      </c>
      <c r="D437" s="46" t="s">
        <v>6</v>
      </c>
      <c r="E437" s="80">
        <f>E438</f>
        <v>2081533</v>
      </c>
      <c r="F437" s="80">
        <f>F438</f>
        <v>2081533</v>
      </c>
      <c r="G437" s="94"/>
      <c r="H437" s="69"/>
      <c r="I437" s="69"/>
    </row>
    <row r="438" spans="1:9" ht="36">
      <c r="A438" s="45" t="s">
        <v>37</v>
      </c>
      <c r="B438" s="46" t="s">
        <v>117</v>
      </c>
      <c r="C438" s="46" t="s">
        <v>155</v>
      </c>
      <c r="D438" s="46" t="s">
        <v>38</v>
      </c>
      <c r="E438" s="80">
        <f>E439</f>
        <v>2081533</v>
      </c>
      <c r="F438" s="80">
        <f>F439</f>
        <v>2081533</v>
      </c>
      <c r="G438" s="94"/>
      <c r="H438" s="69"/>
      <c r="I438" s="69"/>
    </row>
    <row r="439" spans="1:9">
      <c r="A439" s="45" t="s">
        <v>39</v>
      </c>
      <c r="B439" s="46" t="s">
        <v>117</v>
      </c>
      <c r="C439" s="46" t="s">
        <v>155</v>
      </c>
      <c r="D439" s="46" t="s">
        <v>40</v>
      </c>
      <c r="E439" s="80">
        <f>'прил 12'!F632</f>
        <v>2081533</v>
      </c>
      <c r="F439" s="80">
        <f>'прил 12'!G632</f>
        <v>2081533</v>
      </c>
      <c r="G439" s="94"/>
      <c r="H439" s="69"/>
      <c r="I439" s="69"/>
    </row>
    <row r="440" spans="1:9">
      <c r="A440" s="75" t="s">
        <v>79</v>
      </c>
      <c r="B440" s="61" t="s">
        <v>80</v>
      </c>
      <c r="C440" s="61" t="s">
        <v>126</v>
      </c>
      <c r="D440" s="61" t="s">
        <v>6</v>
      </c>
      <c r="E440" s="81">
        <f>E441+E465</f>
        <v>39763747.549999997</v>
      </c>
      <c r="F440" s="81">
        <f>F441+F465</f>
        <v>38332823.850000001</v>
      </c>
      <c r="G440" s="95">
        <f>потребность!G695</f>
        <v>25799948.490000002</v>
      </c>
      <c r="H440" s="95">
        <f>потребность!H695</f>
        <v>33962060.940000005</v>
      </c>
      <c r="I440" s="69"/>
    </row>
    <row r="441" spans="1:9">
      <c r="A441" s="45" t="s">
        <v>81</v>
      </c>
      <c r="B441" s="46" t="s">
        <v>82</v>
      </c>
      <c r="C441" s="46" t="s">
        <v>126</v>
      </c>
      <c r="D441" s="46" t="s">
        <v>6</v>
      </c>
      <c r="E441" s="80">
        <f>E442</f>
        <v>36462483.93</v>
      </c>
      <c r="F441" s="80">
        <f>F442</f>
        <v>38332823.850000001</v>
      </c>
      <c r="G441" s="94"/>
      <c r="H441" s="69"/>
      <c r="I441" s="69"/>
    </row>
    <row r="442" spans="1:9" ht="39.75" customHeight="1">
      <c r="A442" s="75" t="s">
        <v>891</v>
      </c>
      <c r="B442" s="61" t="s">
        <v>82</v>
      </c>
      <c r="C442" s="61" t="s">
        <v>136</v>
      </c>
      <c r="D442" s="61" t="s">
        <v>6</v>
      </c>
      <c r="E442" s="80">
        <f>E443+E460+E447</f>
        <v>36462483.93</v>
      </c>
      <c r="F442" s="80">
        <f>F443+F460+F447</f>
        <v>38332823.850000001</v>
      </c>
      <c r="G442" s="94"/>
      <c r="H442" s="69"/>
      <c r="I442" s="69"/>
    </row>
    <row r="443" spans="1:9" ht="36">
      <c r="A443" s="45" t="s">
        <v>370</v>
      </c>
      <c r="B443" s="46" t="s">
        <v>82</v>
      </c>
      <c r="C443" s="46" t="s">
        <v>227</v>
      </c>
      <c r="D443" s="46" t="s">
        <v>6</v>
      </c>
      <c r="E443" s="80">
        <f>E457+E454+E444</f>
        <v>9978834.7300000004</v>
      </c>
      <c r="F443" s="80">
        <f>F457+F454+F444</f>
        <v>10589257.890000001</v>
      </c>
      <c r="G443" s="94"/>
      <c r="H443" s="69"/>
      <c r="I443" s="69"/>
    </row>
    <row r="444" spans="1:9" ht="39.75" customHeight="1">
      <c r="A444" s="50" t="s">
        <v>84</v>
      </c>
      <c r="B444" s="46" t="s">
        <v>82</v>
      </c>
      <c r="C444" s="46" t="s">
        <v>141</v>
      </c>
      <c r="D444" s="46" t="s">
        <v>6</v>
      </c>
      <c r="E444" s="80">
        <f>E445</f>
        <v>9805789.5800000001</v>
      </c>
      <c r="F444" s="80">
        <f>F445</f>
        <v>10416212.74</v>
      </c>
      <c r="G444" s="94"/>
      <c r="H444" s="69"/>
      <c r="I444" s="69"/>
    </row>
    <row r="445" spans="1:9" ht="36">
      <c r="A445" s="45" t="s">
        <v>37</v>
      </c>
      <c r="B445" s="46" t="s">
        <v>82</v>
      </c>
      <c r="C445" s="46" t="s">
        <v>141</v>
      </c>
      <c r="D445" s="46" t="s">
        <v>38</v>
      </c>
      <c r="E445" s="80">
        <f>E446</f>
        <v>9805789.5800000001</v>
      </c>
      <c r="F445" s="80">
        <f>F446</f>
        <v>10416212.74</v>
      </c>
      <c r="G445" s="94"/>
      <c r="H445" s="69"/>
      <c r="I445" s="69"/>
    </row>
    <row r="446" spans="1:9">
      <c r="A446" s="45" t="s">
        <v>74</v>
      </c>
      <c r="B446" s="46" t="s">
        <v>82</v>
      </c>
      <c r="C446" s="46" t="s">
        <v>141</v>
      </c>
      <c r="D446" s="46" t="s">
        <v>75</v>
      </c>
      <c r="E446" s="80">
        <f>'прил 12'!F358</f>
        <v>9805789.5800000001</v>
      </c>
      <c r="F446" s="80">
        <f>'прил 12'!G358</f>
        <v>10416212.74</v>
      </c>
      <c r="G446" s="94"/>
      <c r="H446" s="69"/>
      <c r="I446" s="69"/>
    </row>
    <row r="447" spans="1:9" ht="36">
      <c r="A447" s="45" t="s">
        <v>689</v>
      </c>
      <c r="B447" s="46" t="s">
        <v>82</v>
      </c>
      <c r="C447" s="46" t="s">
        <v>688</v>
      </c>
      <c r="D447" s="46" t="s">
        <v>6</v>
      </c>
      <c r="E447" s="80">
        <f>E448+E451</f>
        <v>25737149.199999999</v>
      </c>
      <c r="F447" s="80">
        <f>F448+F451</f>
        <v>26997065.960000001</v>
      </c>
      <c r="G447" s="94"/>
      <c r="H447" s="69"/>
      <c r="I447" s="69"/>
    </row>
    <row r="448" spans="1:9" ht="36" customHeight="1">
      <c r="A448" s="50" t="s">
        <v>84</v>
      </c>
      <c r="B448" s="46" t="s">
        <v>82</v>
      </c>
      <c r="C448" s="46" t="s">
        <v>687</v>
      </c>
      <c r="D448" s="46" t="s">
        <v>6</v>
      </c>
      <c r="E448" s="80">
        <f t="shared" ref="E448:F449" si="29">E449</f>
        <v>25737149.199999999</v>
      </c>
      <c r="F448" s="80">
        <f t="shared" si="29"/>
        <v>26997065.960000001</v>
      </c>
      <c r="G448" s="94"/>
      <c r="H448" s="69"/>
      <c r="I448" s="69"/>
    </row>
    <row r="449" spans="1:9" ht="36">
      <c r="A449" s="45" t="s">
        <v>37</v>
      </c>
      <c r="B449" s="46" t="s">
        <v>82</v>
      </c>
      <c r="C449" s="46" t="s">
        <v>687</v>
      </c>
      <c r="D449" s="46" t="s">
        <v>38</v>
      </c>
      <c r="E449" s="80">
        <f t="shared" si="29"/>
        <v>25737149.199999999</v>
      </c>
      <c r="F449" s="80">
        <f t="shared" si="29"/>
        <v>26997065.960000001</v>
      </c>
      <c r="G449" s="94"/>
      <c r="H449" s="69"/>
      <c r="I449" s="69"/>
    </row>
    <row r="450" spans="1:9" ht="16.5" customHeight="1">
      <c r="A450" s="45" t="s">
        <v>74</v>
      </c>
      <c r="B450" s="46" t="s">
        <v>82</v>
      </c>
      <c r="C450" s="46" t="s">
        <v>687</v>
      </c>
      <c r="D450" s="46" t="s">
        <v>75</v>
      </c>
      <c r="E450" s="80">
        <f>'прил 12'!F362</f>
        <v>25737149.199999999</v>
      </c>
      <c r="F450" s="80">
        <f>'прил 12'!G362</f>
        <v>26997065.960000001</v>
      </c>
      <c r="G450" s="94"/>
      <c r="H450" s="69"/>
      <c r="I450" s="69"/>
    </row>
    <row r="451" spans="1:9" ht="72" hidden="1">
      <c r="A451" s="123" t="s">
        <v>724</v>
      </c>
      <c r="B451" s="163" t="s">
        <v>82</v>
      </c>
      <c r="C451" s="163" t="s">
        <v>726</v>
      </c>
      <c r="D451" s="163" t="s">
        <v>6</v>
      </c>
      <c r="E451" s="80">
        <f>E452</f>
        <v>0</v>
      </c>
      <c r="F451" s="80">
        <f>F452</f>
        <v>0</v>
      </c>
      <c r="G451" s="94"/>
      <c r="H451" s="69"/>
      <c r="I451" s="69"/>
    </row>
    <row r="452" spans="1:9" ht="36" hidden="1">
      <c r="A452" s="45" t="s">
        <v>37</v>
      </c>
      <c r="B452" s="163" t="s">
        <v>82</v>
      </c>
      <c r="C452" s="163" t="s">
        <v>726</v>
      </c>
      <c r="D452" s="163" t="s">
        <v>38</v>
      </c>
      <c r="E452" s="80">
        <f>E453</f>
        <v>0</v>
      </c>
      <c r="F452" s="80">
        <f>F453</f>
        <v>0</v>
      </c>
      <c r="G452" s="94"/>
      <c r="H452" s="69"/>
      <c r="I452" s="69"/>
    </row>
    <row r="453" spans="1:9" hidden="1">
      <c r="A453" s="123" t="s">
        <v>74</v>
      </c>
      <c r="B453" s="163" t="s">
        <v>82</v>
      </c>
      <c r="C453" s="163" t="s">
        <v>726</v>
      </c>
      <c r="D453" s="163" t="s">
        <v>75</v>
      </c>
      <c r="E453" s="80">
        <f>'прил 12'!F365</f>
        <v>0</v>
      </c>
      <c r="F453" s="80">
        <f>'прил 12'!G365</f>
        <v>0</v>
      </c>
      <c r="G453" s="94"/>
      <c r="H453" s="69"/>
      <c r="I453" s="69"/>
    </row>
    <row r="454" spans="1:9" ht="55.5" customHeight="1">
      <c r="A454" s="28" t="s">
        <v>393</v>
      </c>
      <c r="B454" s="46" t="s">
        <v>82</v>
      </c>
      <c r="C454" s="46" t="s">
        <v>294</v>
      </c>
      <c r="D454" s="46" t="s">
        <v>6</v>
      </c>
      <c r="E454" s="80">
        <f>E455</f>
        <v>168005</v>
      </c>
      <c r="F454" s="80">
        <f>F455</f>
        <v>168005</v>
      </c>
      <c r="G454" s="94"/>
      <c r="H454" s="69"/>
      <c r="I454" s="69"/>
    </row>
    <row r="455" spans="1:9" ht="36">
      <c r="A455" s="45" t="s">
        <v>37</v>
      </c>
      <c r="B455" s="46" t="s">
        <v>82</v>
      </c>
      <c r="C455" s="46" t="s">
        <v>294</v>
      </c>
      <c r="D455" s="46" t="s">
        <v>38</v>
      </c>
      <c r="E455" s="80">
        <f>E456</f>
        <v>168005</v>
      </c>
      <c r="F455" s="80">
        <f>F456</f>
        <v>168005</v>
      </c>
      <c r="G455" s="94"/>
      <c r="H455" s="69"/>
      <c r="I455" s="69"/>
    </row>
    <row r="456" spans="1:9">
      <c r="A456" s="45" t="s">
        <v>74</v>
      </c>
      <c r="B456" s="46" t="s">
        <v>82</v>
      </c>
      <c r="C456" s="46" t="s">
        <v>294</v>
      </c>
      <c r="D456" s="46" t="s">
        <v>75</v>
      </c>
      <c r="E456" s="80">
        <f>'прил 12'!F368</f>
        <v>168005</v>
      </c>
      <c r="F456" s="80">
        <f>'прил 12'!G368</f>
        <v>168005</v>
      </c>
      <c r="G456" s="94"/>
      <c r="H456" s="69"/>
      <c r="I456" s="69"/>
    </row>
    <row r="457" spans="1:9" ht="58.65" customHeight="1">
      <c r="A457" s="45" t="s">
        <v>307</v>
      </c>
      <c r="B457" s="46" t="s">
        <v>82</v>
      </c>
      <c r="C457" s="46" t="s">
        <v>308</v>
      </c>
      <c r="D457" s="46" t="s">
        <v>6</v>
      </c>
      <c r="E457" s="80">
        <f>E458</f>
        <v>5040.1499999999996</v>
      </c>
      <c r="F457" s="80">
        <f>F458</f>
        <v>5040.1499999999996</v>
      </c>
      <c r="G457" s="94"/>
      <c r="H457" s="69"/>
      <c r="I457" s="69"/>
    </row>
    <row r="458" spans="1:9" ht="36">
      <c r="A458" s="45" t="s">
        <v>37</v>
      </c>
      <c r="B458" s="46" t="s">
        <v>82</v>
      </c>
      <c r="C458" s="46" t="s">
        <v>308</v>
      </c>
      <c r="D458" s="46" t="s">
        <v>38</v>
      </c>
      <c r="E458" s="80">
        <f>E459</f>
        <v>5040.1499999999996</v>
      </c>
      <c r="F458" s="80">
        <f>F459</f>
        <v>5040.1499999999996</v>
      </c>
      <c r="G458" s="94"/>
      <c r="H458" s="69"/>
      <c r="I458" s="69"/>
    </row>
    <row r="459" spans="1:9">
      <c r="A459" s="45" t="s">
        <v>74</v>
      </c>
      <c r="B459" s="46" t="s">
        <v>82</v>
      </c>
      <c r="C459" s="46" t="s">
        <v>308</v>
      </c>
      <c r="D459" s="46" t="s">
        <v>75</v>
      </c>
      <c r="E459" s="80">
        <f>'прил 12'!F371</f>
        <v>5040.1499999999996</v>
      </c>
      <c r="F459" s="80">
        <f>'прил 12'!G371</f>
        <v>5040.1499999999996</v>
      </c>
      <c r="G459" s="94"/>
      <c r="H459" s="69"/>
      <c r="I459" s="69"/>
    </row>
    <row r="460" spans="1:9" ht="21.15" customHeight="1">
      <c r="A460" s="45" t="s">
        <v>211</v>
      </c>
      <c r="B460" s="46" t="s">
        <v>82</v>
      </c>
      <c r="C460" s="46" t="s">
        <v>229</v>
      </c>
      <c r="D460" s="46" t="s">
        <v>6</v>
      </c>
      <c r="E460" s="80">
        <f>E461</f>
        <v>746500</v>
      </c>
      <c r="F460" s="80">
        <f>F461</f>
        <v>746500</v>
      </c>
      <c r="G460" s="94"/>
      <c r="H460" s="69"/>
      <c r="I460" s="69"/>
    </row>
    <row r="461" spans="1:9">
      <c r="A461" s="45" t="s">
        <v>83</v>
      </c>
      <c r="B461" s="46" t="s">
        <v>82</v>
      </c>
      <c r="C461" s="46" t="s">
        <v>140</v>
      </c>
      <c r="D461" s="46" t="s">
        <v>6</v>
      </c>
      <c r="E461" s="80">
        <f>E462</f>
        <v>746500</v>
      </c>
      <c r="F461" s="80">
        <f>F462</f>
        <v>746500</v>
      </c>
      <c r="G461" s="94"/>
      <c r="H461" s="69"/>
      <c r="I461" s="69"/>
    </row>
    <row r="462" spans="1:9" ht="36">
      <c r="A462" s="45" t="s">
        <v>37</v>
      </c>
      <c r="B462" s="46" t="s">
        <v>82</v>
      </c>
      <c r="C462" s="46" t="s">
        <v>140</v>
      </c>
      <c r="D462" s="46" t="s">
        <v>38</v>
      </c>
      <c r="E462" s="80">
        <f>E463+E464</f>
        <v>746500</v>
      </c>
      <c r="F462" s="80">
        <f>F463+F464</f>
        <v>746500</v>
      </c>
      <c r="G462" s="94"/>
      <c r="H462" s="69"/>
      <c r="I462" s="69"/>
    </row>
    <row r="463" spans="1:9">
      <c r="A463" s="45" t="s">
        <v>74</v>
      </c>
      <c r="B463" s="46" t="s">
        <v>82</v>
      </c>
      <c r="C463" s="46" t="s">
        <v>140</v>
      </c>
      <c r="D463" s="46" t="s">
        <v>75</v>
      </c>
      <c r="E463" s="80">
        <f>'прил 12'!F375</f>
        <v>632500</v>
      </c>
      <c r="F463" s="80">
        <f>'прил 12'!G375</f>
        <v>632500</v>
      </c>
      <c r="G463" s="94"/>
      <c r="H463" s="69"/>
      <c r="I463" s="69"/>
    </row>
    <row r="464" spans="1:9" ht="34.5" customHeight="1">
      <c r="A464" s="123" t="s">
        <v>371</v>
      </c>
      <c r="B464" s="46" t="s">
        <v>82</v>
      </c>
      <c r="C464" s="46" t="s">
        <v>140</v>
      </c>
      <c r="D464" s="46" t="s">
        <v>252</v>
      </c>
      <c r="E464" s="80">
        <f>'прил 12'!F376</f>
        <v>114000</v>
      </c>
      <c r="F464" s="80">
        <f>'прил 12'!G376</f>
        <v>114000</v>
      </c>
      <c r="G464" s="94"/>
      <c r="H464" s="69"/>
      <c r="I464" s="69"/>
    </row>
    <row r="465" spans="1:9" ht="26.4" customHeight="1">
      <c r="A465" s="164" t="s">
        <v>526</v>
      </c>
      <c r="B465" s="163" t="s">
        <v>527</v>
      </c>
      <c r="C465" s="163" t="s">
        <v>126</v>
      </c>
      <c r="D465" s="163" t="s">
        <v>6</v>
      </c>
      <c r="E465" s="80">
        <f>E466+E471</f>
        <v>3301263.62</v>
      </c>
      <c r="F465" s="80">
        <f t="shared" ref="E465:F469" si="30">F466</f>
        <v>0</v>
      </c>
      <c r="G465" s="94"/>
      <c r="H465" s="69"/>
      <c r="I465" s="69"/>
    </row>
    <row r="466" spans="1:9" ht="46.5" hidden="1" customHeight="1">
      <c r="A466" s="164" t="s">
        <v>369</v>
      </c>
      <c r="B466" s="163" t="s">
        <v>527</v>
      </c>
      <c r="C466" s="163" t="s">
        <v>136</v>
      </c>
      <c r="D466" s="163" t="s">
        <v>6</v>
      </c>
      <c r="E466" s="80">
        <f t="shared" si="30"/>
        <v>0</v>
      </c>
      <c r="F466" s="80">
        <f t="shared" si="30"/>
        <v>0</v>
      </c>
      <c r="G466" s="94"/>
      <c r="H466" s="69"/>
      <c r="I466" s="69"/>
    </row>
    <row r="467" spans="1:9" ht="24" hidden="1" customHeight="1">
      <c r="A467" s="164" t="s">
        <v>211</v>
      </c>
      <c r="B467" s="163" t="s">
        <v>527</v>
      </c>
      <c r="C467" s="163" t="s">
        <v>229</v>
      </c>
      <c r="D467" s="163" t="s">
        <v>6</v>
      </c>
      <c r="E467" s="80">
        <f t="shared" si="30"/>
        <v>0</v>
      </c>
      <c r="F467" s="80">
        <f t="shared" si="30"/>
        <v>0</v>
      </c>
      <c r="G467" s="94"/>
      <c r="H467" s="69"/>
      <c r="I467" s="69"/>
    </row>
    <row r="468" spans="1:9" ht="74.25" hidden="1" customHeight="1">
      <c r="A468" s="164" t="s">
        <v>903</v>
      </c>
      <c r="B468" s="163" t="s">
        <v>527</v>
      </c>
      <c r="C468" s="163" t="s">
        <v>902</v>
      </c>
      <c r="D468" s="163" t="s">
        <v>6</v>
      </c>
      <c r="E468" s="80">
        <f t="shared" si="30"/>
        <v>0</v>
      </c>
      <c r="F468" s="80">
        <f t="shared" si="30"/>
        <v>0</v>
      </c>
      <c r="G468" s="94"/>
      <c r="H468" s="69"/>
      <c r="I468" s="69"/>
    </row>
    <row r="469" spans="1:9" ht="42" hidden="1" customHeight="1">
      <c r="A469" s="164" t="s">
        <v>37</v>
      </c>
      <c r="B469" s="163" t="s">
        <v>527</v>
      </c>
      <c r="C469" s="163" t="s">
        <v>902</v>
      </c>
      <c r="D469" s="163" t="s">
        <v>38</v>
      </c>
      <c r="E469" s="80">
        <f t="shared" si="30"/>
        <v>0</v>
      </c>
      <c r="F469" s="80">
        <f t="shared" si="30"/>
        <v>0</v>
      </c>
      <c r="G469" s="94"/>
      <c r="H469" s="69"/>
      <c r="I469" s="69"/>
    </row>
    <row r="470" spans="1:9" ht="21.75" hidden="1" customHeight="1">
      <c r="A470" s="164" t="s">
        <v>74</v>
      </c>
      <c r="B470" s="163" t="s">
        <v>527</v>
      </c>
      <c r="C470" s="163" t="s">
        <v>902</v>
      </c>
      <c r="D470" s="163" t="s">
        <v>75</v>
      </c>
      <c r="E470" s="80">
        <v>0</v>
      </c>
      <c r="F470" s="80">
        <v>0</v>
      </c>
      <c r="G470" s="94"/>
      <c r="H470" s="69"/>
      <c r="I470" s="69"/>
    </row>
    <row r="471" spans="1:9" ht="35.4" customHeight="1">
      <c r="A471" s="196" t="s">
        <v>880</v>
      </c>
      <c r="B471" s="197" t="s">
        <v>527</v>
      </c>
      <c r="C471" s="197" t="s">
        <v>331</v>
      </c>
      <c r="D471" s="197" t="s">
        <v>6</v>
      </c>
      <c r="E471" s="80">
        <f>E472</f>
        <v>3301263.62</v>
      </c>
      <c r="F471" s="80">
        <v>0</v>
      </c>
      <c r="G471" s="94"/>
      <c r="H471" s="69"/>
      <c r="I471" s="69"/>
    </row>
    <row r="472" spans="1:9" ht="38.700000000000003" customHeight="1">
      <c r="A472" s="164" t="s">
        <v>215</v>
      </c>
      <c r="B472" s="163" t="s">
        <v>527</v>
      </c>
      <c r="C472" s="163" t="s">
        <v>332</v>
      </c>
      <c r="D472" s="163" t="s">
        <v>6</v>
      </c>
      <c r="E472" s="80">
        <f>E473</f>
        <v>3301263.62</v>
      </c>
      <c r="F472" s="80">
        <v>0</v>
      </c>
      <c r="G472" s="94"/>
      <c r="H472" s="69"/>
      <c r="I472" s="69"/>
    </row>
    <row r="473" spans="1:9" ht="21.75" customHeight="1">
      <c r="A473" s="164" t="s">
        <v>942</v>
      </c>
      <c r="B473" s="163" t="s">
        <v>527</v>
      </c>
      <c r="C473" s="163" t="s">
        <v>941</v>
      </c>
      <c r="D473" s="163" t="s">
        <v>6</v>
      </c>
      <c r="E473" s="80">
        <f>E474</f>
        <v>3301263.62</v>
      </c>
      <c r="F473" s="80">
        <v>0</v>
      </c>
      <c r="G473" s="94"/>
      <c r="H473" s="69"/>
      <c r="I473" s="69"/>
    </row>
    <row r="474" spans="1:9" ht="21.75" customHeight="1">
      <c r="A474" s="164" t="s">
        <v>15</v>
      </c>
      <c r="B474" s="163" t="s">
        <v>527</v>
      </c>
      <c r="C474" s="163" t="s">
        <v>941</v>
      </c>
      <c r="D474" s="163" t="s">
        <v>16</v>
      </c>
      <c r="E474" s="80">
        <f>E475</f>
        <v>3301263.62</v>
      </c>
      <c r="F474" s="80">
        <v>0</v>
      </c>
      <c r="G474" s="94"/>
      <c r="H474" s="69"/>
      <c r="I474" s="69"/>
    </row>
    <row r="475" spans="1:9" ht="21.75" customHeight="1">
      <c r="A475" s="164" t="s">
        <v>17</v>
      </c>
      <c r="B475" s="163" t="s">
        <v>527</v>
      </c>
      <c r="C475" s="163" t="s">
        <v>941</v>
      </c>
      <c r="D475" s="163" t="s">
        <v>18</v>
      </c>
      <c r="E475" s="80">
        <v>3301263.62</v>
      </c>
      <c r="F475" s="80">
        <v>0</v>
      </c>
      <c r="G475" s="94"/>
      <c r="H475" s="69"/>
      <c r="I475" s="69"/>
    </row>
    <row r="476" spans="1:9">
      <c r="A476" s="75" t="s">
        <v>85</v>
      </c>
      <c r="B476" s="61" t="s">
        <v>86</v>
      </c>
      <c r="C476" s="61" t="s">
        <v>126</v>
      </c>
      <c r="D476" s="61" t="s">
        <v>6</v>
      </c>
      <c r="E476" s="81">
        <f>E477+E502+E482</f>
        <v>70052411.650000006</v>
      </c>
      <c r="F476" s="81">
        <f>F477+F502+F482</f>
        <v>70814191.359999999</v>
      </c>
      <c r="G476" s="95">
        <f>потребность!G696</f>
        <v>26150817.98</v>
      </c>
      <c r="H476" s="95">
        <f>потребность!H696</f>
        <v>46812788.289999999</v>
      </c>
      <c r="I476" s="69"/>
    </row>
    <row r="477" spans="1:9">
      <c r="A477" s="45" t="s">
        <v>87</v>
      </c>
      <c r="B477" s="46" t="s">
        <v>88</v>
      </c>
      <c r="C477" s="46" t="s">
        <v>126</v>
      </c>
      <c r="D477" s="46" t="s">
        <v>6</v>
      </c>
      <c r="E477" s="80">
        <f t="shared" ref="E477:F480" si="31">E478</f>
        <v>5386176</v>
      </c>
      <c r="F477" s="80">
        <f t="shared" si="31"/>
        <v>5386176</v>
      </c>
      <c r="G477" s="94"/>
      <c r="H477" s="69"/>
      <c r="I477" s="69"/>
    </row>
    <row r="478" spans="1:9">
      <c r="A478" s="45" t="s">
        <v>198</v>
      </c>
      <c r="B478" s="46" t="s">
        <v>88</v>
      </c>
      <c r="C478" s="46" t="s">
        <v>127</v>
      </c>
      <c r="D478" s="46" t="s">
        <v>6</v>
      </c>
      <c r="E478" s="80">
        <f t="shared" si="31"/>
        <v>5386176</v>
      </c>
      <c r="F478" s="80">
        <f t="shared" si="31"/>
        <v>5386176</v>
      </c>
      <c r="G478" s="94"/>
      <c r="H478" s="69"/>
      <c r="I478" s="69"/>
    </row>
    <row r="479" spans="1:9">
      <c r="A479" s="45" t="s">
        <v>89</v>
      </c>
      <c r="B479" s="46" t="s">
        <v>88</v>
      </c>
      <c r="C479" s="46" t="s">
        <v>142</v>
      </c>
      <c r="D479" s="46" t="s">
        <v>6</v>
      </c>
      <c r="E479" s="80">
        <f t="shared" si="31"/>
        <v>5386176</v>
      </c>
      <c r="F479" s="80">
        <f t="shared" si="31"/>
        <v>5386176</v>
      </c>
      <c r="G479" s="94"/>
      <c r="H479" s="69"/>
      <c r="I479" s="69"/>
    </row>
    <row r="480" spans="1:9">
      <c r="A480" s="45" t="s">
        <v>90</v>
      </c>
      <c r="B480" s="46" t="s">
        <v>88</v>
      </c>
      <c r="C480" s="46" t="s">
        <v>142</v>
      </c>
      <c r="D480" s="46" t="s">
        <v>91</v>
      </c>
      <c r="E480" s="80">
        <f t="shared" si="31"/>
        <v>5386176</v>
      </c>
      <c r="F480" s="80">
        <f t="shared" si="31"/>
        <v>5386176</v>
      </c>
      <c r="G480" s="94"/>
      <c r="H480" s="69"/>
      <c r="I480" s="69"/>
    </row>
    <row r="481" spans="1:9">
      <c r="A481" s="45" t="s">
        <v>92</v>
      </c>
      <c r="B481" s="46" t="s">
        <v>88</v>
      </c>
      <c r="C481" s="46" t="s">
        <v>142</v>
      </c>
      <c r="D481" s="46" t="s">
        <v>93</v>
      </c>
      <c r="E481" s="80">
        <f>'прил 12'!F393</f>
        <v>5386176</v>
      </c>
      <c r="F481" s="80">
        <f>'прил 12'!G393</f>
        <v>5386176</v>
      </c>
      <c r="G481" s="94"/>
      <c r="H481" s="69"/>
      <c r="I481" s="69"/>
    </row>
    <row r="482" spans="1:9">
      <c r="A482" s="45" t="s">
        <v>94</v>
      </c>
      <c r="B482" s="46" t="s">
        <v>95</v>
      </c>
      <c r="C482" s="46" t="s">
        <v>126</v>
      </c>
      <c r="D482" s="46" t="s">
        <v>6</v>
      </c>
      <c r="E482" s="80">
        <f>E483+E488+E493+E498</f>
        <v>2362327.65</v>
      </c>
      <c r="F482" s="80">
        <f>F483+F488+F493+F498</f>
        <v>2419633.2199999997</v>
      </c>
      <c r="G482" s="94"/>
      <c r="H482" s="69"/>
      <c r="I482" s="69"/>
    </row>
    <row r="483" spans="1:9" ht="36">
      <c r="A483" s="75" t="s">
        <v>853</v>
      </c>
      <c r="B483" s="61" t="s">
        <v>95</v>
      </c>
      <c r="C483" s="61" t="s">
        <v>138</v>
      </c>
      <c r="D483" s="61" t="s">
        <v>6</v>
      </c>
      <c r="E483" s="80">
        <f t="shared" ref="E483:F486" si="32">E484</f>
        <v>1310000</v>
      </c>
      <c r="F483" s="80">
        <f t="shared" si="32"/>
        <v>1310000</v>
      </c>
      <c r="G483" s="94"/>
      <c r="H483" s="69"/>
      <c r="I483" s="69"/>
    </row>
    <row r="484" spans="1:9">
      <c r="A484" s="48" t="s">
        <v>752</v>
      </c>
      <c r="B484" s="46" t="s">
        <v>95</v>
      </c>
      <c r="C484" s="46" t="s">
        <v>750</v>
      </c>
      <c r="D484" s="46" t="s">
        <v>6</v>
      </c>
      <c r="E484" s="80">
        <f t="shared" si="32"/>
        <v>1310000</v>
      </c>
      <c r="F484" s="80">
        <f t="shared" si="32"/>
        <v>1310000</v>
      </c>
      <c r="G484" s="94"/>
      <c r="H484" s="69"/>
      <c r="I484" s="69"/>
    </row>
    <row r="485" spans="1:9" ht="78.75" customHeight="1">
      <c r="A485" s="28" t="s">
        <v>405</v>
      </c>
      <c r="B485" s="46" t="s">
        <v>95</v>
      </c>
      <c r="C485" s="46" t="s">
        <v>751</v>
      </c>
      <c r="D485" s="46" t="s">
        <v>6</v>
      </c>
      <c r="E485" s="80">
        <f t="shared" si="32"/>
        <v>1310000</v>
      </c>
      <c r="F485" s="80">
        <f t="shared" si="32"/>
        <v>1310000</v>
      </c>
      <c r="G485" s="94"/>
      <c r="H485" s="69"/>
      <c r="I485" s="69"/>
    </row>
    <row r="486" spans="1:9">
      <c r="A486" s="45" t="s">
        <v>90</v>
      </c>
      <c r="B486" s="46" t="s">
        <v>95</v>
      </c>
      <c r="C486" s="46" t="s">
        <v>751</v>
      </c>
      <c r="D486" s="46" t="s">
        <v>91</v>
      </c>
      <c r="E486" s="80">
        <f t="shared" si="32"/>
        <v>1310000</v>
      </c>
      <c r="F486" s="80">
        <f t="shared" si="32"/>
        <v>1310000</v>
      </c>
      <c r="G486" s="94"/>
      <c r="H486" s="69"/>
      <c r="I486" s="69"/>
    </row>
    <row r="487" spans="1:9" ht="36">
      <c r="A487" s="45" t="s">
        <v>97</v>
      </c>
      <c r="B487" s="46" t="s">
        <v>95</v>
      </c>
      <c r="C487" s="46" t="s">
        <v>751</v>
      </c>
      <c r="D487" s="46" t="s">
        <v>98</v>
      </c>
      <c r="E487" s="80">
        <f>'прил 12'!F639</f>
        <v>1310000</v>
      </c>
      <c r="F487" s="80">
        <f>'прил 12'!G639</f>
        <v>1310000</v>
      </c>
      <c r="G487" s="94"/>
      <c r="H487" s="69"/>
      <c r="I487" s="69"/>
    </row>
    <row r="488" spans="1:9" ht="35.4" customHeight="1">
      <c r="A488" s="132" t="s">
        <v>890</v>
      </c>
      <c r="B488" s="61" t="s">
        <v>95</v>
      </c>
      <c r="C488" s="61" t="s">
        <v>129</v>
      </c>
      <c r="D488" s="61" t="s">
        <v>6</v>
      </c>
      <c r="E488" s="80">
        <f t="shared" ref="E488:F491" si="33">E489</f>
        <v>150000</v>
      </c>
      <c r="F488" s="80">
        <f t="shared" si="33"/>
        <v>150000</v>
      </c>
      <c r="G488" s="94"/>
      <c r="H488" s="69"/>
      <c r="I488" s="69"/>
    </row>
    <row r="489" spans="1:9" ht="37.5" customHeight="1">
      <c r="A489" s="123" t="s">
        <v>372</v>
      </c>
      <c r="B489" s="46" t="s">
        <v>95</v>
      </c>
      <c r="C489" s="46" t="s">
        <v>413</v>
      </c>
      <c r="D489" s="46" t="s">
        <v>6</v>
      </c>
      <c r="E489" s="80">
        <f t="shared" si="33"/>
        <v>150000</v>
      </c>
      <c r="F489" s="80">
        <f t="shared" si="33"/>
        <v>150000</v>
      </c>
      <c r="G489" s="94"/>
      <c r="H489" s="69"/>
      <c r="I489" s="69"/>
    </row>
    <row r="490" spans="1:9" ht="36">
      <c r="A490" s="45" t="s">
        <v>99</v>
      </c>
      <c r="B490" s="46" t="s">
        <v>95</v>
      </c>
      <c r="C490" s="46" t="s">
        <v>416</v>
      </c>
      <c r="D490" s="46" t="s">
        <v>6</v>
      </c>
      <c r="E490" s="80">
        <f t="shared" si="33"/>
        <v>150000</v>
      </c>
      <c r="F490" s="80">
        <f t="shared" si="33"/>
        <v>150000</v>
      </c>
      <c r="G490" s="94"/>
      <c r="H490" s="69"/>
      <c r="I490" s="69"/>
    </row>
    <row r="491" spans="1:9">
      <c r="A491" s="45" t="s">
        <v>90</v>
      </c>
      <c r="B491" s="46" t="s">
        <v>95</v>
      </c>
      <c r="C491" s="46" t="s">
        <v>416</v>
      </c>
      <c r="D491" s="46" t="s">
        <v>91</v>
      </c>
      <c r="E491" s="80">
        <f t="shared" si="33"/>
        <v>150000</v>
      </c>
      <c r="F491" s="80">
        <f t="shared" si="33"/>
        <v>150000</v>
      </c>
      <c r="G491" s="94"/>
      <c r="H491" s="69"/>
      <c r="I491" s="69"/>
    </row>
    <row r="492" spans="1:9" ht="36">
      <c r="A492" s="45" t="s">
        <v>97</v>
      </c>
      <c r="B492" s="46" t="s">
        <v>95</v>
      </c>
      <c r="C492" s="46" t="s">
        <v>416</v>
      </c>
      <c r="D492" s="46" t="s">
        <v>98</v>
      </c>
      <c r="E492" s="80">
        <f>'прил 12'!F399</f>
        <v>150000</v>
      </c>
      <c r="F492" s="80">
        <f>'прил 12'!G399</f>
        <v>150000</v>
      </c>
      <c r="G492" s="94"/>
      <c r="H492" s="69"/>
      <c r="I492" s="69"/>
    </row>
    <row r="493" spans="1:9" ht="38.25" customHeight="1">
      <c r="A493" s="75" t="s">
        <v>885</v>
      </c>
      <c r="B493" s="61" t="s">
        <v>95</v>
      </c>
      <c r="C493" s="61" t="s">
        <v>374</v>
      </c>
      <c r="D493" s="61" t="s">
        <v>6</v>
      </c>
      <c r="E493" s="80">
        <f t="shared" ref="E493:F496" si="34">E494</f>
        <v>802327.65</v>
      </c>
      <c r="F493" s="80">
        <f t="shared" si="34"/>
        <v>859633.22</v>
      </c>
      <c r="G493" s="94"/>
      <c r="H493" s="69"/>
      <c r="I493" s="69"/>
    </row>
    <row r="494" spans="1:9" ht="39.15" customHeight="1">
      <c r="A494" s="45" t="s">
        <v>394</v>
      </c>
      <c r="B494" s="46" t="s">
        <v>95</v>
      </c>
      <c r="C494" s="46" t="s">
        <v>375</v>
      </c>
      <c r="D494" s="46" t="s">
        <v>6</v>
      </c>
      <c r="E494" s="80">
        <f t="shared" si="34"/>
        <v>802327.65</v>
      </c>
      <c r="F494" s="80">
        <f t="shared" si="34"/>
        <v>859633.22</v>
      </c>
      <c r="G494" s="94"/>
      <c r="H494" s="69"/>
      <c r="I494" s="69"/>
    </row>
    <row r="495" spans="1:9" ht="36">
      <c r="A495" s="45" t="s">
        <v>96</v>
      </c>
      <c r="B495" s="46" t="s">
        <v>95</v>
      </c>
      <c r="C495" s="46" t="s">
        <v>376</v>
      </c>
      <c r="D495" s="46" t="s">
        <v>6</v>
      </c>
      <c r="E495" s="80">
        <f t="shared" si="34"/>
        <v>802327.65</v>
      </c>
      <c r="F495" s="80">
        <f t="shared" si="34"/>
        <v>859633.22</v>
      </c>
      <c r="G495" s="94"/>
      <c r="H495" s="69"/>
      <c r="I495" s="69"/>
    </row>
    <row r="496" spans="1:9">
      <c r="A496" s="45" t="s">
        <v>90</v>
      </c>
      <c r="B496" s="46" t="s">
        <v>95</v>
      </c>
      <c r="C496" s="46" t="s">
        <v>376</v>
      </c>
      <c r="D496" s="46" t="s">
        <v>91</v>
      </c>
      <c r="E496" s="80">
        <f t="shared" si="34"/>
        <v>802327.65</v>
      </c>
      <c r="F496" s="80">
        <f t="shared" si="34"/>
        <v>859633.22</v>
      </c>
      <c r="G496" s="94"/>
      <c r="H496" s="69"/>
      <c r="I496" s="69"/>
    </row>
    <row r="497" spans="1:9" ht="36">
      <c r="A497" s="45" t="s">
        <v>97</v>
      </c>
      <c r="B497" s="46" t="s">
        <v>95</v>
      </c>
      <c r="C497" s="46" t="s">
        <v>376</v>
      </c>
      <c r="D497" s="46" t="s">
        <v>98</v>
      </c>
      <c r="E497" s="80">
        <f>'прил 12'!F404</f>
        <v>802327.65</v>
      </c>
      <c r="F497" s="80">
        <f>'прил 12'!G404</f>
        <v>859633.22</v>
      </c>
      <c r="G497" s="94"/>
      <c r="H497" s="69"/>
      <c r="I497" s="69"/>
    </row>
    <row r="498" spans="1:9" ht="18.75" customHeight="1">
      <c r="A498" s="45" t="s">
        <v>132</v>
      </c>
      <c r="B498" s="46" t="s">
        <v>95</v>
      </c>
      <c r="C498" s="46" t="s">
        <v>127</v>
      </c>
      <c r="D498" s="46" t="s">
        <v>6</v>
      </c>
      <c r="E498" s="80">
        <f t="shared" ref="E498:F500" si="35">E499</f>
        <v>100000</v>
      </c>
      <c r="F498" s="80">
        <f t="shared" si="35"/>
        <v>100000</v>
      </c>
      <c r="G498" s="94"/>
      <c r="H498" s="69"/>
      <c r="I498" s="69"/>
    </row>
    <row r="499" spans="1:9" ht="18.75" customHeight="1">
      <c r="A499" s="45" t="s">
        <v>530</v>
      </c>
      <c r="B499" s="46" t="s">
        <v>95</v>
      </c>
      <c r="C499" s="46" t="s">
        <v>543</v>
      </c>
      <c r="D499" s="46" t="s">
        <v>6</v>
      </c>
      <c r="E499" s="80">
        <f t="shared" si="35"/>
        <v>100000</v>
      </c>
      <c r="F499" s="80">
        <f t="shared" si="35"/>
        <v>100000</v>
      </c>
      <c r="G499" s="94"/>
      <c r="H499" s="69"/>
      <c r="I499" s="69"/>
    </row>
    <row r="500" spans="1:9">
      <c r="A500" s="45" t="s">
        <v>90</v>
      </c>
      <c r="B500" s="46" t="s">
        <v>95</v>
      </c>
      <c r="C500" s="46" t="s">
        <v>543</v>
      </c>
      <c r="D500" s="46" t="s">
        <v>91</v>
      </c>
      <c r="E500" s="80">
        <f t="shared" si="35"/>
        <v>100000</v>
      </c>
      <c r="F500" s="80">
        <f t="shared" si="35"/>
        <v>100000</v>
      </c>
      <c r="G500" s="94"/>
      <c r="H500" s="69"/>
      <c r="I500" s="69"/>
    </row>
    <row r="501" spans="1:9">
      <c r="A501" s="45" t="s">
        <v>309</v>
      </c>
      <c r="B501" s="46" t="s">
        <v>95</v>
      </c>
      <c r="C501" s="46" t="s">
        <v>543</v>
      </c>
      <c r="D501" s="46" t="s">
        <v>310</v>
      </c>
      <c r="E501" s="80">
        <f>'прил 12'!F408</f>
        <v>100000</v>
      </c>
      <c r="F501" s="80">
        <f>'прил 12'!G408</f>
        <v>100000</v>
      </c>
      <c r="G501" s="94"/>
      <c r="H501" s="69"/>
      <c r="I501" s="69"/>
    </row>
    <row r="502" spans="1:9">
      <c r="A502" s="45" t="s">
        <v>123</v>
      </c>
      <c r="B502" s="46" t="s">
        <v>124</v>
      </c>
      <c r="C502" s="46" t="s">
        <v>126</v>
      </c>
      <c r="D502" s="46" t="s">
        <v>6</v>
      </c>
      <c r="E502" s="80">
        <f>E503+E509</f>
        <v>62303908</v>
      </c>
      <c r="F502" s="80">
        <f>F503+F509</f>
        <v>63008382.140000001</v>
      </c>
      <c r="G502" s="94"/>
      <c r="H502" s="69"/>
      <c r="I502" s="69"/>
    </row>
    <row r="503" spans="1:9" ht="36">
      <c r="A503" s="75" t="s">
        <v>855</v>
      </c>
      <c r="B503" s="61" t="s">
        <v>124</v>
      </c>
      <c r="C503" s="61" t="s">
        <v>138</v>
      </c>
      <c r="D503" s="61" t="s">
        <v>6</v>
      </c>
      <c r="E503" s="80">
        <f t="shared" ref="E503:F505" si="36">E504</f>
        <v>3179069</v>
      </c>
      <c r="F503" s="80">
        <f t="shared" si="36"/>
        <v>3179069</v>
      </c>
      <c r="G503" s="94"/>
      <c r="H503" s="69"/>
      <c r="I503" s="69"/>
    </row>
    <row r="504" spans="1:9" ht="36">
      <c r="A504" s="45" t="s">
        <v>862</v>
      </c>
      <c r="B504" s="46" t="s">
        <v>124</v>
      </c>
      <c r="C504" s="46" t="s">
        <v>139</v>
      </c>
      <c r="D504" s="46" t="s">
        <v>6</v>
      </c>
      <c r="E504" s="80">
        <f t="shared" si="36"/>
        <v>3179069</v>
      </c>
      <c r="F504" s="80">
        <f t="shared" si="36"/>
        <v>3179069</v>
      </c>
      <c r="G504" s="94"/>
    </row>
    <row r="505" spans="1:9" ht="20.25" customHeight="1">
      <c r="A505" s="76" t="s">
        <v>204</v>
      </c>
      <c r="B505" s="46" t="s">
        <v>124</v>
      </c>
      <c r="C505" s="46" t="s">
        <v>234</v>
      </c>
      <c r="D505" s="46" t="s">
        <v>6</v>
      </c>
      <c r="E505" s="80">
        <f t="shared" si="36"/>
        <v>3179069</v>
      </c>
      <c r="F505" s="80">
        <f t="shared" si="36"/>
        <v>3179069</v>
      </c>
      <c r="G505" s="94"/>
    </row>
    <row r="506" spans="1:9" ht="111.75" customHeight="1">
      <c r="A506" s="28" t="s">
        <v>668</v>
      </c>
      <c r="B506" s="46" t="s">
        <v>124</v>
      </c>
      <c r="C506" s="46" t="s">
        <v>156</v>
      </c>
      <c r="D506" s="46" t="s">
        <v>6</v>
      </c>
      <c r="E506" s="80">
        <f>E507</f>
        <v>3179069</v>
      </c>
      <c r="F506" s="80">
        <f>F507</f>
        <v>3179069</v>
      </c>
      <c r="G506" s="94"/>
    </row>
    <row r="507" spans="1:9">
      <c r="A507" s="45" t="s">
        <v>90</v>
      </c>
      <c r="B507" s="46" t="s">
        <v>124</v>
      </c>
      <c r="C507" s="46" t="s">
        <v>156</v>
      </c>
      <c r="D507" s="46" t="s">
        <v>91</v>
      </c>
      <c r="E507" s="80">
        <f>E508</f>
        <v>3179069</v>
      </c>
      <c r="F507" s="80">
        <f>F508</f>
        <v>3179069</v>
      </c>
      <c r="G507" s="94"/>
    </row>
    <row r="508" spans="1:9" ht="36">
      <c r="A508" s="45" t="s">
        <v>97</v>
      </c>
      <c r="B508" s="46" t="s">
        <v>124</v>
      </c>
      <c r="C508" s="46" t="s">
        <v>156</v>
      </c>
      <c r="D508" s="46" t="s">
        <v>98</v>
      </c>
      <c r="E508" s="80">
        <f>'прил 12'!F648</f>
        <v>3179069</v>
      </c>
      <c r="F508" s="80">
        <f>'прил 12'!G648</f>
        <v>3179069</v>
      </c>
      <c r="G508" s="94"/>
    </row>
    <row r="509" spans="1:9" ht="18.75" customHeight="1">
      <c r="A509" s="45" t="s">
        <v>132</v>
      </c>
      <c r="B509" s="46" t="s">
        <v>124</v>
      </c>
      <c r="C509" s="46" t="s">
        <v>127</v>
      </c>
      <c r="D509" s="46" t="s">
        <v>6</v>
      </c>
      <c r="E509" s="80">
        <f t="shared" ref="E509:F509" si="37">E510</f>
        <v>59124839</v>
      </c>
      <c r="F509" s="80">
        <f t="shared" si="37"/>
        <v>59829313.140000001</v>
      </c>
      <c r="G509" s="94"/>
    </row>
    <row r="510" spans="1:9">
      <c r="A510" s="45" t="s">
        <v>277</v>
      </c>
      <c r="B510" s="46" t="s">
        <v>124</v>
      </c>
      <c r="C510" s="46" t="s">
        <v>276</v>
      </c>
      <c r="D510" s="46" t="s">
        <v>6</v>
      </c>
      <c r="E510" s="80">
        <f>E520+E511+E514+E523</f>
        <v>59124839</v>
      </c>
      <c r="F510" s="80">
        <f>F520+F511+F514+F523</f>
        <v>59829313.140000001</v>
      </c>
      <c r="G510" s="94"/>
    </row>
    <row r="511" spans="1:9" ht="72" hidden="1">
      <c r="A511" s="45" t="s">
        <v>429</v>
      </c>
      <c r="B511" s="46" t="s">
        <v>124</v>
      </c>
      <c r="C511" s="46" t="s">
        <v>430</v>
      </c>
      <c r="D511" s="46" t="s">
        <v>6</v>
      </c>
      <c r="E511" s="80">
        <f>E512</f>
        <v>0</v>
      </c>
      <c r="F511" s="80">
        <f>F512</f>
        <v>0</v>
      </c>
      <c r="G511" s="94"/>
    </row>
    <row r="512" spans="1:9" hidden="1">
      <c r="A512" s="45" t="s">
        <v>90</v>
      </c>
      <c r="B512" s="46" t="s">
        <v>124</v>
      </c>
      <c r="C512" s="46" t="s">
        <v>430</v>
      </c>
      <c r="D512" s="46" t="s">
        <v>91</v>
      </c>
      <c r="E512" s="80">
        <f>E513</f>
        <v>0</v>
      </c>
      <c r="F512" s="80">
        <f>F513</f>
        <v>0</v>
      </c>
      <c r="G512" s="94"/>
    </row>
    <row r="513" spans="1:8" hidden="1">
      <c r="A513" s="45" t="s">
        <v>92</v>
      </c>
      <c r="B513" s="46" t="s">
        <v>124</v>
      </c>
      <c r="C513" s="46" t="s">
        <v>430</v>
      </c>
      <c r="D513" s="46" t="s">
        <v>93</v>
      </c>
      <c r="E513" s="80">
        <f>'прил 12'!F414</f>
        <v>0</v>
      </c>
      <c r="F513" s="80">
        <f>'прил 12'!G414</f>
        <v>0</v>
      </c>
      <c r="G513" s="94"/>
    </row>
    <row r="514" spans="1:8" ht="75.150000000000006" customHeight="1">
      <c r="A514" s="28" t="s">
        <v>431</v>
      </c>
      <c r="B514" s="46" t="s">
        <v>124</v>
      </c>
      <c r="C514" s="46" t="s">
        <v>432</v>
      </c>
      <c r="D514" s="46" t="s">
        <v>6</v>
      </c>
      <c r="E514" s="80">
        <f>E515+E517</f>
        <v>22604954.34</v>
      </c>
      <c r="F514" s="80">
        <f>F515+F517</f>
        <v>23309428.48</v>
      </c>
      <c r="G514" s="94"/>
    </row>
    <row r="515" spans="1:8" ht="36">
      <c r="A515" s="45" t="s">
        <v>15</v>
      </c>
      <c r="B515" s="46" t="s">
        <v>124</v>
      </c>
      <c r="C515" s="46" t="s">
        <v>432</v>
      </c>
      <c r="D515" s="46" t="s">
        <v>16</v>
      </c>
      <c r="E515" s="80">
        <f>E516</f>
        <v>130000</v>
      </c>
      <c r="F515" s="80">
        <f>F516</f>
        <v>130000</v>
      </c>
      <c r="G515" s="94"/>
    </row>
    <row r="516" spans="1:8" ht="36">
      <c r="A516" s="45" t="s">
        <v>17</v>
      </c>
      <c r="B516" s="46" t="s">
        <v>124</v>
      </c>
      <c r="C516" s="46" t="s">
        <v>432</v>
      </c>
      <c r="D516" s="46" t="s">
        <v>18</v>
      </c>
      <c r="E516" s="80">
        <f>'прил 12'!F417</f>
        <v>130000</v>
      </c>
      <c r="F516" s="80">
        <f>'прил 12'!G417</f>
        <v>130000</v>
      </c>
      <c r="G516" s="94"/>
    </row>
    <row r="517" spans="1:8">
      <c r="A517" s="45" t="s">
        <v>90</v>
      </c>
      <c r="B517" s="46" t="s">
        <v>124</v>
      </c>
      <c r="C517" s="46" t="s">
        <v>432</v>
      </c>
      <c r="D517" s="46" t="s">
        <v>91</v>
      </c>
      <c r="E517" s="80">
        <f>E518+E519</f>
        <v>22474954.34</v>
      </c>
      <c r="F517" s="80">
        <f>F518+F519</f>
        <v>23179428.48</v>
      </c>
      <c r="G517" s="94"/>
    </row>
    <row r="518" spans="1:8">
      <c r="A518" s="45" t="s">
        <v>92</v>
      </c>
      <c r="B518" s="46" t="s">
        <v>124</v>
      </c>
      <c r="C518" s="46" t="s">
        <v>432</v>
      </c>
      <c r="D518" s="46" t="s">
        <v>93</v>
      </c>
      <c r="E518" s="80">
        <f>'прил 12'!F419</f>
        <v>20474954.34</v>
      </c>
      <c r="F518" s="80">
        <f>'прил 12'!G419</f>
        <v>21179428.48</v>
      </c>
      <c r="G518" s="94"/>
    </row>
    <row r="519" spans="1:8">
      <c r="A519" s="45" t="s">
        <v>92</v>
      </c>
      <c r="B519" s="46" t="s">
        <v>124</v>
      </c>
      <c r="C519" s="46" t="s">
        <v>432</v>
      </c>
      <c r="D519" s="46" t="s">
        <v>98</v>
      </c>
      <c r="E519" s="80">
        <f>'прил 12'!F420</f>
        <v>2000000</v>
      </c>
      <c r="F519" s="80">
        <f>'прил 12'!G420</f>
        <v>2000000</v>
      </c>
      <c r="G519" s="94"/>
    </row>
    <row r="520" spans="1:8" ht="73.5" customHeight="1">
      <c r="A520" s="28" t="s">
        <v>667</v>
      </c>
      <c r="B520" s="46" t="s">
        <v>124</v>
      </c>
      <c r="C520" s="46" t="s">
        <v>295</v>
      </c>
      <c r="D520" s="46" t="s">
        <v>6</v>
      </c>
      <c r="E520" s="80">
        <f>E521</f>
        <v>20305313.620000001</v>
      </c>
      <c r="F520" s="80">
        <f>F521</f>
        <v>20305313.620000001</v>
      </c>
      <c r="G520" s="94"/>
    </row>
    <row r="521" spans="1:8" ht="39.15" customHeight="1">
      <c r="A521" s="45" t="s">
        <v>264</v>
      </c>
      <c r="B521" s="46" t="s">
        <v>124</v>
      </c>
      <c r="C521" s="46" t="s">
        <v>295</v>
      </c>
      <c r="D521" s="46" t="s">
        <v>265</v>
      </c>
      <c r="E521" s="80">
        <f>E522</f>
        <v>20305313.620000001</v>
      </c>
      <c r="F521" s="80">
        <f>F522</f>
        <v>20305313.620000001</v>
      </c>
      <c r="G521" s="94"/>
    </row>
    <row r="522" spans="1:8">
      <c r="A522" s="45" t="s">
        <v>266</v>
      </c>
      <c r="B522" s="46" t="s">
        <v>124</v>
      </c>
      <c r="C522" s="46" t="s">
        <v>295</v>
      </c>
      <c r="D522" s="46" t="s">
        <v>267</v>
      </c>
      <c r="E522" s="80">
        <f>'прил 12'!F426</f>
        <v>20305313.620000001</v>
      </c>
      <c r="F522" s="80">
        <f>'прил 12'!G426</f>
        <v>20305313.620000001</v>
      </c>
      <c r="G522" s="94"/>
    </row>
    <row r="523" spans="1:8" ht="72">
      <c r="A523" s="187" t="s">
        <v>774</v>
      </c>
      <c r="B523" s="163" t="s">
        <v>124</v>
      </c>
      <c r="C523" s="163" t="s">
        <v>814</v>
      </c>
      <c r="D523" s="169" t="s">
        <v>6</v>
      </c>
      <c r="E523" s="80">
        <f>E524</f>
        <v>16214571.039999999</v>
      </c>
      <c r="F523" s="80">
        <f>F524</f>
        <v>16214571.039999999</v>
      </c>
      <c r="G523" s="94"/>
    </row>
    <row r="524" spans="1:8" ht="36">
      <c r="A524" s="164" t="s">
        <v>264</v>
      </c>
      <c r="B524" s="163" t="s">
        <v>124</v>
      </c>
      <c r="C524" s="163" t="s">
        <v>814</v>
      </c>
      <c r="D524" s="169" t="s">
        <v>265</v>
      </c>
      <c r="E524" s="80">
        <f>E525</f>
        <v>16214571.039999999</v>
      </c>
      <c r="F524" s="80">
        <f>F525</f>
        <v>16214571.039999999</v>
      </c>
      <c r="G524" s="94"/>
    </row>
    <row r="525" spans="1:8">
      <c r="A525" s="164" t="s">
        <v>266</v>
      </c>
      <c r="B525" s="163" t="s">
        <v>124</v>
      </c>
      <c r="C525" s="163" t="s">
        <v>814</v>
      </c>
      <c r="D525" s="169" t="s">
        <v>267</v>
      </c>
      <c r="E525" s="80">
        <f>'прил 12'!F429</f>
        <v>16214571.039999999</v>
      </c>
      <c r="F525" s="80">
        <f>'прил 12'!G429</f>
        <v>16214571.039999999</v>
      </c>
      <c r="G525" s="94"/>
    </row>
    <row r="526" spans="1:8">
      <c r="A526" s="75" t="s">
        <v>100</v>
      </c>
      <c r="B526" s="61" t="s">
        <v>101</v>
      </c>
      <c r="C526" s="61" t="s">
        <v>126</v>
      </c>
      <c r="D526" s="61" t="s">
        <v>6</v>
      </c>
      <c r="E526" s="81">
        <f>E527</f>
        <v>879482.2</v>
      </c>
      <c r="F526" s="81">
        <f>F527</f>
        <v>1035459.8</v>
      </c>
      <c r="G526" s="95">
        <f>потребность!G697</f>
        <v>2249284</v>
      </c>
      <c r="H526" s="95">
        <f>потребность!H697</f>
        <v>2974533</v>
      </c>
    </row>
    <row r="527" spans="1:8">
      <c r="A527" s="45" t="s">
        <v>301</v>
      </c>
      <c r="B527" s="46" t="s">
        <v>300</v>
      </c>
      <c r="C527" s="46" t="s">
        <v>126</v>
      </c>
      <c r="D527" s="46" t="s">
        <v>6</v>
      </c>
      <c r="E527" s="80">
        <f>E528+E542</f>
        <v>879482.2</v>
      </c>
      <c r="F527" s="80">
        <f>F528+F542</f>
        <v>1035459.8</v>
      </c>
      <c r="G527" s="94"/>
    </row>
    <row r="528" spans="1:8" ht="35.4" customHeight="1">
      <c r="A528" s="132" t="s">
        <v>864</v>
      </c>
      <c r="B528" s="61" t="s">
        <v>300</v>
      </c>
      <c r="C528" s="61" t="s">
        <v>200</v>
      </c>
      <c r="D528" s="61" t="s">
        <v>6</v>
      </c>
      <c r="E528" s="80">
        <f>E529+E535</f>
        <v>829482.2</v>
      </c>
      <c r="F528" s="80">
        <f>F529+F535</f>
        <v>985459.8</v>
      </c>
      <c r="G528" s="94"/>
    </row>
    <row r="529" spans="1:7" ht="35.4" customHeight="1">
      <c r="A529" s="123" t="s">
        <v>865</v>
      </c>
      <c r="B529" s="46" t="s">
        <v>300</v>
      </c>
      <c r="C529" s="46" t="s">
        <v>230</v>
      </c>
      <c r="D529" s="46" t="s">
        <v>6</v>
      </c>
      <c r="E529" s="80">
        <f>E530</f>
        <v>661000</v>
      </c>
      <c r="F529" s="80">
        <f>F530</f>
        <v>661000</v>
      </c>
      <c r="G529" s="94"/>
    </row>
    <row r="530" spans="1:7" ht="18.75" customHeight="1">
      <c r="A530" s="45" t="s">
        <v>102</v>
      </c>
      <c r="B530" s="46" t="s">
        <v>300</v>
      </c>
      <c r="C530" s="46" t="s">
        <v>201</v>
      </c>
      <c r="D530" s="46" t="s">
        <v>6</v>
      </c>
      <c r="E530" s="80">
        <f>E531+E533</f>
        <v>661000</v>
      </c>
      <c r="F530" s="80">
        <f>F531+F533</f>
        <v>661000</v>
      </c>
      <c r="G530" s="94"/>
    </row>
    <row r="531" spans="1:7" ht="18" customHeight="1">
      <c r="A531" s="45" t="s">
        <v>15</v>
      </c>
      <c r="B531" s="46" t="s">
        <v>300</v>
      </c>
      <c r="C531" s="46" t="s">
        <v>201</v>
      </c>
      <c r="D531" s="46" t="s">
        <v>16</v>
      </c>
      <c r="E531" s="80">
        <f>E532</f>
        <v>631000</v>
      </c>
      <c r="F531" s="80">
        <f>F532</f>
        <v>631000</v>
      </c>
      <c r="G531" s="94"/>
    </row>
    <row r="532" spans="1:7" ht="34.5" customHeight="1">
      <c r="A532" s="123" t="s">
        <v>17</v>
      </c>
      <c r="B532" s="46" t="s">
        <v>300</v>
      </c>
      <c r="C532" s="46" t="s">
        <v>201</v>
      </c>
      <c r="D532" s="46" t="s">
        <v>18</v>
      </c>
      <c r="E532" s="80">
        <f>'прил 12'!F436</f>
        <v>631000</v>
      </c>
      <c r="F532" s="80">
        <f>'прил 12'!G436</f>
        <v>631000</v>
      </c>
      <c r="G532" s="94"/>
    </row>
    <row r="533" spans="1:7" ht="19.5" customHeight="1">
      <c r="A533" s="45" t="s">
        <v>271</v>
      </c>
      <c r="B533" s="46" t="s">
        <v>300</v>
      </c>
      <c r="C533" s="46" t="s">
        <v>201</v>
      </c>
      <c r="D533" s="46" t="s">
        <v>20</v>
      </c>
      <c r="E533" s="80">
        <f>E534</f>
        <v>30000</v>
      </c>
      <c r="F533" s="80">
        <f>F534</f>
        <v>30000</v>
      </c>
      <c r="G533" s="94"/>
    </row>
    <row r="534" spans="1:7" ht="19.5" customHeight="1">
      <c r="A534" s="45" t="s">
        <v>272</v>
      </c>
      <c r="B534" s="46" t="s">
        <v>300</v>
      </c>
      <c r="C534" s="46" t="s">
        <v>201</v>
      </c>
      <c r="D534" s="46" t="s">
        <v>22</v>
      </c>
      <c r="E534" s="80">
        <f>'прил 12'!F438</f>
        <v>30000</v>
      </c>
      <c r="F534" s="80">
        <f>'прил 12'!G438</f>
        <v>30000</v>
      </c>
      <c r="G534" s="94"/>
    </row>
    <row r="535" spans="1:7" ht="18.75" customHeight="1">
      <c r="A535" s="164" t="s">
        <v>378</v>
      </c>
      <c r="B535" s="46" t="s">
        <v>300</v>
      </c>
      <c r="C535" s="46" t="s">
        <v>303</v>
      </c>
      <c r="D535" s="46" t="s">
        <v>6</v>
      </c>
      <c r="E535" s="80">
        <f>E537</f>
        <v>168482.2</v>
      </c>
      <c r="F535" s="80">
        <f>F537</f>
        <v>324459.8</v>
      </c>
      <c r="G535" s="94"/>
    </row>
    <row r="536" spans="1:7" ht="41.25" hidden="1" customHeight="1">
      <c r="A536" s="164" t="s">
        <v>792</v>
      </c>
      <c r="B536" s="163" t="s">
        <v>300</v>
      </c>
      <c r="C536" s="163" t="s">
        <v>818</v>
      </c>
      <c r="D536" s="169" t="s">
        <v>6</v>
      </c>
      <c r="E536" s="80"/>
      <c r="F536" s="80"/>
      <c r="G536" s="94"/>
    </row>
    <row r="537" spans="1:7" ht="19.5" customHeight="1">
      <c r="A537" s="164" t="s">
        <v>37</v>
      </c>
      <c r="B537" s="163" t="s">
        <v>300</v>
      </c>
      <c r="C537" s="163" t="s">
        <v>818</v>
      </c>
      <c r="D537" s="169" t="s">
        <v>16</v>
      </c>
      <c r="E537" s="80">
        <f>E538+E540</f>
        <v>168482.2</v>
      </c>
      <c r="F537" s="80">
        <f>F538+F540</f>
        <v>324459.8</v>
      </c>
      <c r="G537" s="94"/>
    </row>
    <row r="538" spans="1:7" ht="18" customHeight="1">
      <c r="A538" s="164" t="s">
        <v>74</v>
      </c>
      <c r="B538" s="163" t="s">
        <v>300</v>
      </c>
      <c r="C538" s="163" t="s">
        <v>818</v>
      </c>
      <c r="D538" s="169" t="s">
        <v>18</v>
      </c>
      <c r="E538" s="80">
        <f>'прил 12'!F445</f>
        <v>163718</v>
      </c>
      <c r="F538" s="80">
        <f>'прил 12'!G445</f>
        <v>315285</v>
      </c>
      <c r="G538" s="94"/>
    </row>
    <row r="539" spans="1:7" ht="19.5" hidden="1" customHeight="1">
      <c r="A539" s="164" t="s">
        <v>791</v>
      </c>
      <c r="B539" s="163" t="s">
        <v>300</v>
      </c>
      <c r="C539" s="163" t="s">
        <v>819</v>
      </c>
      <c r="D539" s="169" t="s">
        <v>6</v>
      </c>
      <c r="E539" s="80">
        <f>'прил 12'!F442</f>
        <v>0</v>
      </c>
      <c r="F539" s="80">
        <f>'прил 12'!G442</f>
        <v>0</v>
      </c>
      <c r="G539" s="94"/>
    </row>
    <row r="540" spans="1:7" ht="39.15" customHeight="1">
      <c r="A540" s="164" t="s">
        <v>15</v>
      </c>
      <c r="B540" s="163" t="s">
        <v>300</v>
      </c>
      <c r="C540" s="163" t="s">
        <v>819</v>
      </c>
      <c r="D540" s="169" t="s">
        <v>16</v>
      </c>
      <c r="E540" s="80">
        <f>E541</f>
        <v>4764.2</v>
      </c>
      <c r="F540" s="80">
        <f>F541</f>
        <v>9174.7999999999993</v>
      </c>
      <c r="G540" s="94"/>
    </row>
    <row r="541" spans="1:7" ht="39.75" customHeight="1">
      <c r="A541" s="164" t="s">
        <v>17</v>
      </c>
      <c r="B541" s="163" t="s">
        <v>300</v>
      </c>
      <c r="C541" s="163" t="s">
        <v>819</v>
      </c>
      <c r="D541" s="169" t="s">
        <v>18</v>
      </c>
      <c r="E541" s="80">
        <f>'прил 12'!F448</f>
        <v>4764.2</v>
      </c>
      <c r="F541" s="80">
        <f>'прил 12'!G448</f>
        <v>9174.7999999999993</v>
      </c>
      <c r="G541" s="94"/>
    </row>
    <row r="542" spans="1:7" ht="36">
      <c r="A542" s="75" t="s">
        <v>856</v>
      </c>
      <c r="B542" s="61" t="s">
        <v>300</v>
      </c>
      <c r="C542" s="61" t="s">
        <v>464</v>
      </c>
      <c r="D542" s="61" t="s">
        <v>6</v>
      </c>
      <c r="E542" s="80">
        <f t="shared" ref="E542:F545" si="38">E543</f>
        <v>50000</v>
      </c>
      <c r="F542" s="80">
        <f t="shared" si="38"/>
        <v>50000</v>
      </c>
      <c r="G542" s="94"/>
    </row>
    <row r="543" spans="1:7" ht="19.5" customHeight="1">
      <c r="A543" s="45" t="s">
        <v>465</v>
      </c>
      <c r="B543" s="46" t="s">
        <v>300</v>
      </c>
      <c r="C543" s="46" t="s">
        <v>466</v>
      </c>
      <c r="D543" s="46" t="s">
        <v>6</v>
      </c>
      <c r="E543" s="80">
        <f t="shared" si="38"/>
        <v>50000</v>
      </c>
      <c r="F543" s="80">
        <f t="shared" si="38"/>
        <v>50000</v>
      </c>
      <c r="G543" s="94"/>
    </row>
    <row r="544" spans="1:7" ht="36">
      <c r="A544" s="45" t="s">
        <v>467</v>
      </c>
      <c r="B544" s="46" t="s">
        <v>300</v>
      </c>
      <c r="C544" s="46" t="s">
        <v>468</v>
      </c>
      <c r="D544" s="46" t="s">
        <v>6</v>
      </c>
      <c r="E544" s="80">
        <f t="shared" si="38"/>
        <v>50000</v>
      </c>
      <c r="F544" s="80">
        <f t="shared" si="38"/>
        <v>50000</v>
      </c>
      <c r="G544" s="94"/>
    </row>
    <row r="545" spans="1:8" ht="20.25" customHeight="1">
      <c r="A545" s="45" t="s">
        <v>15</v>
      </c>
      <c r="B545" s="46" t="s">
        <v>300</v>
      </c>
      <c r="C545" s="46" t="s">
        <v>468</v>
      </c>
      <c r="D545" s="46" t="s">
        <v>16</v>
      </c>
      <c r="E545" s="80">
        <f t="shared" si="38"/>
        <v>50000</v>
      </c>
      <c r="F545" s="80">
        <f t="shared" si="38"/>
        <v>50000</v>
      </c>
      <c r="G545" s="94"/>
    </row>
    <row r="546" spans="1:8" ht="36">
      <c r="A546" s="45" t="s">
        <v>17</v>
      </c>
      <c r="B546" s="46" t="s">
        <v>300</v>
      </c>
      <c r="C546" s="46" t="s">
        <v>468</v>
      </c>
      <c r="D546" s="46" t="s">
        <v>18</v>
      </c>
      <c r="E546" s="80">
        <f>'прил 12'!F453</f>
        <v>50000</v>
      </c>
      <c r="F546" s="80">
        <f>'прил 12'!G453</f>
        <v>50000</v>
      </c>
      <c r="G546" s="94"/>
    </row>
    <row r="547" spans="1:8">
      <c r="A547" s="75" t="s">
        <v>103</v>
      </c>
      <c r="B547" s="61" t="s">
        <v>104</v>
      </c>
      <c r="C547" s="61" t="s">
        <v>126</v>
      </c>
      <c r="D547" s="61" t="s">
        <v>6</v>
      </c>
      <c r="E547" s="81">
        <f t="shared" ref="E547:F552" si="39">E548</f>
        <v>2500000</v>
      </c>
      <c r="F547" s="81">
        <f t="shared" si="39"/>
        <v>2500000</v>
      </c>
      <c r="G547" s="95">
        <f>потребность!G698</f>
        <v>1000000</v>
      </c>
      <c r="H547" s="95">
        <f>потребность!H698</f>
        <v>2500000</v>
      </c>
    </row>
    <row r="548" spans="1:8">
      <c r="A548" s="45" t="s">
        <v>105</v>
      </c>
      <c r="B548" s="46" t="s">
        <v>106</v>
      </c>
      <c r="C548" s="46" t="s">
        <v>126</v>
      </c>
      <c r="D548" s="46" t="s">
        <v>6</v>
      </c>
      <c r="E548" s="80">
        <f t="shared" si="39"/>
        <v>2500000</v>
      </c>
      <c r="F548" s="80">
        <f t="shared" si="39"/>
        <v>2500000</v>
      </c>
      <c r="G548" s="94"/>
    </row>
    <row r="549" spans="1:8" ht="38.25" customHeight="1">
      <c r="A549" s="75" t="s">
        <v>857</v>
      </c>
      <c r="B549" s="61" t="s">
        <v>106</v>
      </c>
      <c r="C549" s="61" t="s">
        <v>317</v>
      </c>
      <c r="D549" s="61" t="s">
        <v>6</v>
      </c>
      <c r="E549" s="80">
        <f t="shared" si="39"/>
        <v>2500000</v>
      </c>
      <c r="F549" s="80">
        <f t="shared" si="39"/>
        <v>2500000</v>
      </c>
      <c r="G549" s="94"/>
    </row>
    <row r="550" spans="1:8" ht="36">
      <c r="A550" s="48" t="s">
        <v>327</v>
      </c>
      <c r="B550" s="46" t="s">
        <v>106</v>
      </c>
      <c r="C550" s="46" t="s">
        <v>318</v>
      </c>
      <c r="D550" s="46" t="s">
        <v>6</v>
      </c>
      <c r="E550" s="80">
        <f t="shared" si="39"/>
        <v>2500000</v>
      </c>
      <c r="F550" s="80">
        <f t="shared" si="39"/>
        <v>2500000</v>
      </c>
      <c r="G550" s="94"/>
    </row>
    <row r="551" spans="1:8" ht="39.75" customHeight="1">
      <c r="A551" s="45" t="s">
        <v>107</v>
      </c>
      <c r="B551" s="46" t="s">
        <v>106</v>
      </c>
      <c r="C551" s="46" t="s">
        <v>319</v>
      </c>
      <c r="D551" s="46" t="s">
        <v>6</v>
      </c>
      <c r="E551" s="80">
        <f t="shared" si="39"/>
        <v>2500000</v>
      </c>
      <c r="F551" s="80">
        <f t="shared" si="39"/>
        <v>2500000</v>
      </c>
      <c r="G551" s="94"/>
    </row>
    <row r="552" spans="1:8" ht="36">
      <c r="A552" s="45" t="s">
        <v>37</v>
      </c>
      <c r="B552" s="46" t="s">
        <v>106</v>
      </c>
      <c r="C552" s="46" t="s">
        <v>319</v>
      </c>
      <c r="D552" s="46" t="s">
        <v>38</v>
      </c>
      <c r="E552" s="80">
        <f t="shared" si="39"/>
        <v>2500000</v>
      </c>
      <c r="F552" s="80">
        <f t="shared" si="39"/>
        <v>2500000</v>
      </c>
      <c r="G552" s="94"/>
    </row>
    <row r="553" spans="1:8">
      <c r="A553" s="45" t="s">
        <v>39</v>
      </c>
      <c r="B553" s="46" t="s">
        <v>106</v>
      </c>
      <c r="C553" s="46" t="s">
        <v>319</v>
      </c>
      <c r="D553" s="46" t="s">
        <v>40</v>
      </c>
      <c r="E553" s="80">
        <f>'прил 12'!F460</f>
        <v>2500000</v>
      </c>
      <c r="F553" s="80">
        <f>'прил 12'!G460</f>
        <v>2500000</v>
      </c>
      <c r="G553" s="94"/>
    </row>
    <row r="554" spans="1:8" ht="17.399999999999999">
      <c r="A554" s="373" t="s">
        <v>118</v>
      </c>
      <c r="B554" s="373"/>
      <c r="C554" s="373"/>
      <c r="D554" s="373"/>
      <c r="E554" s="92">
        <f>E16+E154+E164+E175+E217+E291+E307+E440+E476+E526+E547</f>
        <v>898335219.13599992</v>
      </c>
      <c r="F554" s="92">
        <f>F16+F154+F164+F175+F217+F291+F307+F440+F476+F526+F547</f>
        <v>916778278.91699994</v>
      </c>
      <c r="G554" s="95">
        <f>'прил 8'!C62</f>
        <v>909005669.13999999</v>
      </c>
      <c r="H554" s="95">
        <f>'прил 8'!D62</f>
        <v>938748428.92000008</v>
      </c>
    </row>
    <row r="555" spans="1:8">
      <c r="A555" s="51"/>
      <c r="B555" s="51"/>
      <c r="C555" s="51"/>
      <c r="D555" s="51"/>
      <c r="E555" s="55"/>
      <c r="F555" s="53"/>
      <c r="G555" s="94"/>
    </row>
    <row r="556" spans="1:8">
      <c r="A556" s="93"/>
      <c r="B556" s="93"/>
      <c r="C556" s="236" t="s">
        <v>828</v>
      </c>
      <c r="D556" s="93"/>
      <c r="E556" s="235">
        <f>G554-E554</f>
        <v>10670450.004000068</v>
      </c>
      <c r="F556" s="235">
        <f>H554-F554</f>
        <v>21970150.00300014</v>
      </c>
      <c r="G556" s="94"/>
    </row>
    <row r="557" spans="1:8">
      <c r="A557" s="53"/>
      <c r="C557" s="56"/>
      <c r="E557" s="57"/>
      <c r="F557" s="53"/>
      <c r="G557" s="94"/>
    </row>
    <row r="558" spans="1:8">
      <c r="A558" s="53"/>
      <c r="C558" s="56"/>
      <c r="E558" s="57"/>
      <c r="F558" s="53"/>
      <c r="G558" s="94"/>
    </row>
    <row r="559" spans="1:8">
      <c r="A559" s="53"/>
      <c r="C559" s="56" t="s">
        <v>138</v>
      </c>
      <c r="E559" s="57">
        <f>E309+E335+E372+E402+E421+E483+E503</f>
        <v>586681228.48000002</v>
      </c>
      <c r="F559" s="57">
        <f>F309+F335+F372+F402+F421+F483+F503</f>
        <v>608475257.40999997</v>
      </c>
      <c r="G559" s="94"/>
    </row>
    <row r="560" spans="1:8">
      <c r="A560" s="53"/>
      <c r="C560" s="56" t="s">
        <v>136</v>
      </c>
      <c r="E560" s="57">
        <f>E389+E442+E466</f>
        <v>60009573.906000003</v>
      </c>
      <c r="F560" s="57">
        <f>F389+F442</f>
        <v>58287917.25</v>
      </c>
      <c r="G560" s="94"/>
    </row>
    <row r="561" spans="1:7">
      <c r="A561" s="53"/>
      <c r="C561" s="56" t="s">
        <v>135</v>
      </c>
      <c r="E561" s="57">
        <f>E293</f>
        <v>470000</v>
      </c>
      <c r="F561" s="57">
        <f>F293</f>
        <v>470000</v>
      </c>
      <c r="G561" s="94"/>
    </row>
    <row r="562" spans="1:7">
      <c r="A562" s="53"/>
      <c r="C562" s="56" t="s">
        <v>200</v>
      </c>
      <c r="E562" s="57">
        <f>E528</f>
        <v>829482.2</v>
      </c>
      <c r="F562" s="57">
        <f>F528</f>
        <v>985459.8</v>
      </c>
      <c r="G562" s="94"/>
    </row>
    <row r="563" spans="1:7">
      <c r="A563" s="53"/>
      <c r="C563" s="56" t="s">
        <v>129</v>
      </c>
      <c r="E563" s="57">
        <f>E488</f>
        <v>150000</v>
      </c>
      <c r="F563" s="57">
        <f>F488</f>
        <v>150000</v>
      </c>
      <c r="G563" s="94"/>
    </row>
    <row r="564" spans="1:7">
      <c r="A564" s="53"/>
      <c r="C564" s="56" t="s">
        <v>128</v>
      </c>
      <c r="E564" s="57">
        <f>E66</f>
        <v>25122401.030000001</v>
      </c>
      <c r="F564" s="57">
        <f>F66</f>
        <v>25245823.800000001</v>
      </c>
      <c r="G564" s="94"/>
    </row>
    <row r="565" spans="1:7">
      <c r="A565" s="53"/>
      <c r="C565" s="56" t="s">
        <v>134</v>
      </c>
      <c r="E565" s="57">
        <f>E230+E252+E286</f>
        <v>16400000</v>
      </c>
      <c r="F565" s="57">
        <f>F230+F252+F286</f>
        <v>12900000</v>
      </c>
      <c r="G565" s="94"/>
    </row>
    <row r="566" spans="1:7">
      <c r="A566" s="53"/>
      <c r="C566" s="56" t="s">
        <v>131</v>
      </c>
      <c r="E566" s="57">
        <f>E89</f>
        <v>50000</v>
      </c>
      <c r="F566" s="57">
        <f>F89</f>
        <v>50000</v>
      </c>
      <c r="G566" s="94"/>
    </row>
    <row r="567" spans="1:7">
      <c r="A567" s="53"/>
      <c r="C567" s="56" t="s">
        <v>412</v>
      </c>
      <c r="E567" s="57">
        <f>E203</f>
        <v>100000</v>
      </c>
      <c r="F567" s="57">
        <f>F203</f>
        <v>100000</v>
      </c>
      <c r="G567" s="94"/>
    </row>
    <row r="568" spans="1:7">
      <c r="A568" s="53"/>
      <c r="C568" s="56" t="s">
        <v>374</v>
      </c>
      <c r="E568" s="57">
        <f>E493</f>
        <v>802327.65</v>
      </c>
      <c r="F568" s="57">
        <f>F493</f>
        <v>859633.22</v>
      </c>
      <c r="G568" s="94"/>
    </row>
    <row r="569" spans="1:7">
      <c r="A569" s="53"/>
      <c r="C569" s="56" t="s">
        <v>317</v>
      </c>
      <c r="E569" s="57">
        <f>E94+E549</f>
        <v>4521373.5</v>
      </c>
      <c r="F569" s="57">
        <f>F94+F549</f>
        <v>4521373.5</v>
      </c>
      <c r="G569" s="94"/>
    </row>
    <row r="570" spans="1:7">
      <c r="A570" s="53"/>
      <c r="C570" s="56" t="s">
        <v>335</v>
      </c>
      <c r="E570" s="57">
        <f>E194</f>
        <v>13157000</v>
      </c>
      <c r="F570" s="57">
        <f>F194</f>
        <v>14166000</v>
      </c>
      <c r="G570" s="94"/>
    </row>
    <row r="571" spans="1:7">
      <c r="A571" s="53"/>
      <c r="C571" s="56" t="s">
        <v>363</v>
      </c>
      <c r="E571" s="57">
        <f>E302</f>
        <v>45000</v>
      </c>
      <c r="F571" s="57">
        <f>F302</f>
        <v>45000</v>
      </c>
      <c r="G571" s="94"/>
    </row>
    <row r="572" spans="1:7">
      <c r="A572" s="53"/>
      <c r="C572" s="56" t="s">
        <v>340</v>
      </c>
      <c r="E572" s="57">
        <f>E208</f>
        <v>430000</v>
      </c>
      <c r="F572" s="57">
        <f>F208</f>
        <v>3430000</v>
      </c>
      <c r="G572" s="94"/>
    </row>
    <row r="573" spans="1:7">
      <c r="A573" s="53"/>
      <c r="C573" s="56" t="s">
        <v>331</v>
      </c>
      <c r="E573" s="57">
        <f>E102+E219</f>
        <v>4100000</v>
      </c>
      <c r="F573" s="57">
        <f>F102+F219</f>
        <v>4100000</v>
      </c>
      <c r="G573" s="94"/>
    </row>
    <row r="574" spans="1:7">
      <c r="A574" s="53"/>
      <c r="C574" s="56" t="s">
        <v>320</v>
      </c>
      <c r="E574" s="57">
        <f>E189</f>
        <v>100000</v>
      </c>
      <c r="F574" s="57">
        <f>F189</f>
        <v>100000</v>
      </c>
      <c r="G574" s="94"/>
    </row>
    <row r="575" spans="1:7">
      <c r="A575" s="53"/>
      <c r="C575" s="56" t="s">
        <v>464</v>
      </c>
      <c r="E575" s="57">
        <f>E542</f>
        <v>50000</v>
      </c>
      <c r="F575" s="57">
        <f>F542</f>
        <v>50000</v>
      </c>
      <c r="G575" s="94"/>
    </row>
    <row r="576" spans="1:7">
      <c r="A576" s="53"/>
      <c r="C576" s="56" t="s">
        <v>513</v>
      </c>
      <c r="E576" s="57">
        <f>E260</f>
        <v>9700000</v>
      </c>
      <c r="F576" s="57">
        <f>F260</f>
        <v>6000000</v>
      </c>
      <c r="G576" s="94"/>
    </row>
    <row r="577" spans="1:7">
      <c r="A577" s="53"/>
      <c r="C577" s="56" t="s">
        <v>523</v>
      </c>
      <c r="E577" s="57">
        <f>E271</f>
        <v>19974076.27</v>
      </c>
      <c r="F577" s="57">
        <f>F271</f>
        <v>20709227.807</v>
      </c>
      <c r="G577" s="94"/>
    </row>
    <row r="578" spans="1:7">
      <c r="A578" s="53"/>
      <c r="C578" s="56" t="s">
        <v>127</v>
      </c>
      <c r="E578" s="57">
        <f>E18+E23+E38+E45+E51+E109+E166+E171+E177+E183+E224+E478+E498+E509+E156</f>
        <v>152341492.48000002</v>
      </c>
      <c r="F578" s="57">
        <f>F18+F23+F38+F45+F51+F109+F166+F171+F177+F183+F224+F478+F498+F509+F156</f>
        <v>156132586.13</v>
      </c>
      <c r="G578" s="94"/>
    </row>
    <row r="579" spans="1:7">
      <c r="A579" s="53"/>
      <c r="C579" s="56"/>
      <c r="E579" s="57">
        <f>SUM(E559:E578)</f>
        <v>895033955.51600003</v>
      </c>
      <c r="F579" s="57">
        <f>SUM(F559:F578)</f>
        <v>916778278.91699994</v>
      </c>
      <c r="G579" s="94"/>
    </row>
    <row r="580" spans="1:7">
      <c r="A580" s="53"/>
      <c r="C580" s="56"/>
      <c r="E580" s="57"/>
      <c r="F580" s="57"/>
      <c r="G580" s="94"/>
    </row>
    <row r="581" spans="1:7">
      <c r="A581" s="53"/>
      <c r="C581" s="56"/>
      <c r="E581" s="57">
        <f>E554-E579</f>
        <v>3301263.6199998856</v>
      </c>
      <c r="F581" s="57">
        <f>F554-F579</f>
        <v>0</v>
      </c>
      <c r="G581" s="94"/>
    </row>
    <row r="582" spans="1:7">
      <c r="A582" s="53"/>
      <c r="C582" s="56"/>
      <c r="E582" s="57"/>
      <c r="F582" s="57"/>
      <c r="G582" s="94"/>
    </row>
    <row r="583" spans="1:7">
      <c r="A583" s="53"/>
      <c r="C583" s="56" t="s">
        <v>219</v>
      </c>
      <c r="E583" s="57">
        <f>E311</f>
        <v>134598391</v>
      </c>
      <c r="F583" s="57">
        <f>F311</f>
        <v>140978143.09999999</v>
      </c>
      <c r="G583" s="94"/>
    </row>
    <row r="584" spans="1:7">
      <c r="A584" s="53"/>
      <c r="C584" s="56" t="s">
        <v>221</v>
      </c>
      <c r="E584" s="57">
        <f>E318</f>
        <v>2049500</v>
      </c>
      <c r="F584" s="57">
        <f>F318</f>
        <v>549500</v>
      </c>
      <c r="G584" s="94"/>
    </row>
    <row r="585" spans="1:7">
      <c r="A585" s="53"/>
      <c r="C585" s="56" t="s">
        <v>234</v>
      </c>
      <c r="E585" s="57">
        <f>E505</f>
        <v>3179069</v>
      </c>
      <c r="F585" s="57">
        <f>F505</f>
        <v>3179069</v>
      </c>
      <c r="G585" s="94"/>
    </row>
    <row r="586" spans="1:7">
      <c r="A586" s="53"/>
      <c r="C586" s="56" t="s">
        <v>222</v>
      </c>
      <c r="E586" s="57">
        <f>E337</f>
        <v>383315369.17000002</v>
      </c>
      <c r="F586" s="57">
        <f>F337</f>
        <v>400929643</v>
      </c>
      <c r="G586" s="94"/>
    </row>
    <row r="587" spans="1:7">
      <c r="A587" s="53"/>
      <c r="C587" s="56" t="s">
        <v>220</v>
      </c>
      <c r="E587" s="57">
        <f>E404+E350</f>
        <v>1432800</v>
      </c>
      <c r="F587" s="57">
        <f>F404+F350</f>
        <v>732800</v>
      </c>
      <c r="G587" s="94"/>
    </row>
    <row r="588" spans="1:7">
      <c r="A588" s="53"/>
      <c r="C588" s="56" t="s">
        <v>223</v>
      </c>
      <c r="E588" s="57">
        <f>E363+E408</f>
        <v>8036150</v>
      </c>
      <c r="F588" s="57">
        <f>F363+F408</f>
        <v>8036150</v>
      </c>
      <c r="G588" s="94"/>
    </row>
    <row r="589" spans="1:7">
      <c r="A589" s="53"/>
      <c r="C589" s="56" t="s">
        <v>313</v>
      </c>
      <c r="E589" s="57">
        <f>E367</f>
        <v>2576010.31</v>
      </c>
      <c r="F589" s="57">
        <f>F367</f>
        <v>2576010.31</v>
      </c>
      <c r="G589" s="94"/>
    </row>
    <row r="590" spans="1:7">
      <c r="A590" s="53"/>
      <c r="C590" s="56" t="s">
        <v>224</v>
      </c>
      <c r="E590" s="57">
        <f>E374</f>
        <v>26996964</v>
      </c>
      <c r="F590" s="57">
        <f>F374</f>
        <v>26996967</v>
      </c>
      <c r="G590" s="94"/>
    </row>
    <row r="591" spans="1:7">
      <c r="A591" s="53"/>
      <c r="C591" s="56" t="s">
        <v>225</v>
      </c>
      <c r="E591" s="57">
        <f>E378</f>
        <v>110500</v>
      </c>
      <c r="F591" s="57">
        <f>F378</f>
        <v>110500</v>
      </c>
      <c r="G591" s="94"/>
    </row>
    <row r="592" spans="1:7">
      <c r="A592" s="53"/>
      <c r="C592" s="56" t="s">
        <v>769</v>
      </c>
      <c r="E592" s="57">
        <f>E385</f>
        <v>1203000</v>
      </c>
      <c r="F592" s="57">
        <f>F385</f>
        <v>1203000</v>
      </c>
      <c r="G592" s="94"/>
    </row>
    <row r="593" spans="1:7">
      <c r="A593" s="53"/>
      <c r="C593" s="56" t="s">
        <v>226</v>
      </c>
      <c r="E593" s="57">
        <f>E422</f>
        <v>21748475</v>
      </c>
      <c r="F593" s="57">
        <f>F422</f>
        <v>21748475</v>
      </c>
      <c r="G593" s="94"/>
    </row>
    <row r="594" spans="1:7">
      <c r="A594" s="53"/>
      <c r="C594" s="56" t="s">
        <v>237</v>
      </c>
      <c r="E594" s="57">
        <f>E416</f>
        <v>125000</v>
      </c>
      <c r="F594" s="57">
        <f>F416</f>
        <v>125000</v>
      </c>
      <c r="G594" s="94"/>
    </row>
    <row r="595" spans="1:7">
      <c r="A595" s="53"/>
      <c r="C595" s="56" t="s">
        <v>458</v>
      </c>
      <c r="E595" s="57">
        <f>E484</f>
        <v>1310000</v>
      </c>
      <c r="F595" s="57">
        <f>F484</f>
        <v>1310000</v>
      </c>
      <c r="G595" s="94"/>
    </row>
    <row r="596" spans="1:7">
      <c r="A596" s="53"/>
      <c r="C596" s="56" t="s">
        <v>227</v>
      </c>
      <c r="E596" s="57">
        <f>E443</f>
        <v>9978834.7300000004</v>
      </c>
      <c r="F596" s="57">
        <f>F443</f>
        <v>10589257.890000001</v>
      </c>
      <c r="G596" s="94"/>
    </row>
    <row r="597" spans="1:7">
      <c r="A597" s="53"/>
      <c r="C597" s="56" t="s">
        <v>228</v>
      </c>
      <c r="E597" s="57">
        <f>E390</f>
        <v>19052341.359999999</v>
      </c>
      <c r="F597" s="57">
        <f>F390</f>
        <v>19955093.399999999</v>
      </c>
      <c r="G597" s="94"/>
    </row>
    <row r="598" spans="1:7">
      <c r="A598" s="53"/>
      <c r="C598" s="56" t="s">
        <v>229</v>
      </c>
      <c r="E598" s="57">
        <f>E460+E467</f>
        <v>746500</v>
      </c>
      <c r="F598" s="57">
        <f>F460</f>
        <v>746500</v>
      </c>
      <c r="G598" s="94"/>
    </row>
    <row r="599" spans="1:7">
      <c r="A599" s="53"/>
      <c r="C599" s="56" t="s">
        <v>688</v>
      </c>
      <c r="E599" s="57">
        <f>E447</f>
        <v>25737149.199999999</v>
      </c>
      <c r="F599" s="57">
        <f>F447</f>
        <v>26997065.960000001</v>
      </c>
      <c r="G599" s="94"/>
    </row>
    <row r="600" spans="1:7">
      <c r="A600" s="53"/>
      <c r="C600" s="56" t="s">
        <v>609</v>
      </c>
      <c r="E600" s="57">
        <f>E397</f>
        <v>4494748.6160000004</v>
      </c>
      <c r="F600" s="57">
        <f>F397</f>
        <v>0</v>
      </c>
      <c r="G600" s="94"/>
    </row>
    <row r="601" spans="1:7">
      <c r="A601" s="53"/>
      <c r="C601" s="56" t="s">
        <v>392</v>
      </c>
      <c r="E601" s="57">
        <f>E294</f>
        <v>440000</v>
      </c>
      <c r="F601" s="57">
        <f>F294</f>
        <v>440000</v>
      </c>
      <c r="G601" s="94"/>
    </row>
    <row r="602" spans="1:7">
      <c r="A602" s="53"/>
      <c r="C602" s="56" t="s">
        <v>246</v>
      </c>
      <c r="E602" s="57">
        <f>E298</f>
        <v>30000</v>
      </c>
      <c r="F602" s="57">
        <f>F298</f>
        <v>30000</v>
      </c>
      <c r="G602" s="94"/>
    </row>
    <row r="603" spans="1:7">
      <c r="A603" s="53"/>
      <c r="C603" s="56" t="s">
        <v>230</v>
      </c>
      <c r="E603" s="57">
        <f>E529</f>
        <v>661000</v>
      </c>
      <c r="F603" s="57">
        <f>F529</f>
        <v>661000</v>
      </c>
      <c r="G603" s="94"/>
    </row>
    <row r="604" spans="1:7">
      <c r="A604" s="53"/>
      <c r="C604" s="56" t="s">
        <v>303</v>
      </c>
      <c r="E604" s="57">
        <f>E535</f>
        <v>168482.2</v>
      </c>
      <c r="F604" s="57">
        <f>F535</f>
        <v>324459.8</v>
      </c>
      <c r="G604" s="94"/>
    </row>
    <row r="605" spans="1:7">
      <c r="A605" s="53"/>
      <c r="C605" s="56" t="s">
        <v>413</v>
      </c>
      <c r="E605" s="57">
        <f>E489</f>
        <v>150000</v>
      </c>
      <c r="F605" s="57">
        <f>F489</f>
        <v>150000</v>
      </c>
      <c r="G605" s="94"/>
    </row>
    <row r="606" spans="1:7">
      <c r="A606" s="53"/>
      <c r="C606" s="56" t="s">
        <v>315</v>
      </c>
      <c r="E606" s="57">
        <f>E67</f>
        <v>886905</v>
      </c>
      <c r="F606" s="57">
        <f>F67</f>
        <v>886905</v>
      </c>
      <c r="G606" s="94"/>
    </row>
    <row r="607" spans="1:7">
      <c r="A607" s="53"/>
      <c r="C607" s="56" t="s">
        <v>231</v>
      </c>
      <c r="E607" s="57">
        <f>E74</f>
        <v>22135496.030000001</v>
      </c>
      <c r="F607" s="57">
        <f>F74</f>
        <v>22258918.800000001</v>
      </c>
      <c r="G607" s="94"/>
    </row>
    <row r="608" spans="1:7">
      <c r="A608" s="53"/>
      <c r="C608" s="56" t="s">
        <v>270</v>
      </c>
      <c r="E608" s="57">
        <f>E82</f>
        <v>2100000</v>
      </c>
      <c r="F608" s="57">
        <f>F82</f>
        <v>2100000</v>
      </c>
      <c r="G608" s="94"/>
    </row>
    <row r="609" spans="1:7">
      <c r="A609" s="53"/>
      <c r="C609" s="56" t="s">
        <v>350</v>
      </c>
      <c r="E609" s="57">
        <f>E231+E287</f>
        <v>15500000</v>
      </c>
      <c r="F609" s="57">
        <f>F231+F287</f>
        <v>12000000</v>
      </c>
      <c r="G609" s="94"/>
    </row>
    <row r="610" spans="1:7">
      <c r="A610" s="53"/>
      <c r="C610" s="56" t="s">
        <v>232</v>
      </c>
      <c r="E610" s="57">
        <f>E253</f>
        <v>900000</v>
      </c>
      <c r="F610" s="57">
        <f>F253</f>
        <v>900000</v>
      </c>
      <c r="G610" s="94"/>
    </row>
    <row r="611" spans="1:7">
      <c r="A611" s="53"/>
      <c r="C611" s="56" t="s">
        <v>457</v>
      </c>
      <c r="E611" s="57">
        <v>0</v>
      </c>
      <c r="F611" s="57">
        <v>0</v>
      </c>
      <c r="G611" s="94"/>
    </row>
    <row r="612" spans="1:7">
      <c r="A612" s="53"/>
      <c r="C612" s="56" t="s">
        <v>233</v>
      </c>
      <c r="E612" s="57">
        <f>E90</f>
        <v>50000</v>
      </c>
      <c r="F612" s="57">
        <f>F90</f>
        <v>50000</v>
      </c>
      <c r="G612" s="94"/>
    </row>
    <row r="613" spans="1:7">
      <c r="A613" s="53"/>
      <c r="C613" s="56" t="s">
        <v>414</v>
      </c>
      <c r="E613" s="57">
        <f>E204</f>
        <v>100000</v>
      </c>
      <c r="F613" s="57">
        <f>F204</f>
        <v>100000</v>
      </c>
      <c r="G613" s="94"/>
    </row>
    <row r="614" spans="1:7">
      <c r="A614" s="53"/>
      <c r="C614" s="56" t="s">
        <v>375</v>
      </c>
      <c r="E614" s="57">
        <f>E494</f>
        <v>802327.65</v>
      </c>
      <c r="F614" s="57">
        <f>F494</f>
        <v>859633.22</v>
      </c>
      <c r="G614" s="94"/>
    </row>
    <row r="615" spans="1:7">
      <c r="A615" s="53"/>
      <c r="C615" s="56" t="s">
        <v>318</v>
      </c>
      <c r="E615" s="57">
        <f>E95+E550</f>
        <v>4521373.5</v>
      </c>
      <c r="F615" s="57">
        <f>F95+F550</f>
        <v>4521373.5</v>
      </c>
      <c r="G615" s="94"/>
    </row>
    <row r="616" spans="1:7">
      <c r="A616" s="53"/>
      <c r="C616" s="56" t="s">
        <v>337</v>
      </c>
      <c r="E616" s="57">
        <f>E195</f>
        <v>13157000</v>
      </c>
      <c r="F616" s="57">
        <f>F195</f>
        <v>14166000</v>
      </c>
      <c r="G616" s="94"/>
    </row>
    <row r="617" spans="1:7">
      <c r="A617" s="53"/>
      <c r="C617" s="56" t="s">
        <v>365</v>
      </c>
      <c r="E617" s="57">
        <f>E303</f>
        <v>45000</v>
      </c>
      <c r="F617" s="57">
        <f>F303</f>
        <v>45000</v>
      </c>
      <c r="G617" s="94"/>
    </row>
    <row r="618" spans="1:7">
      <c r="A618" s="53"/>
      <c r="C618" s="56" t="s">
        <v>415</v>
      </c>
      <c r="E618" s="57"/>
      <c r="F618" s="57"/>
      <c r="G618" s="94"/>
    </row>
    <row r="619" spans="1:7">
      <c r="A619" s="53"/>
      <c r="C619" s="56">
        <v>1495300000</v>
      </c>
      <c r="E619" s="57">
        <f>E209</f>
        <v>300000</v>
      </c>
      <c r="F619" s="57">
        <f>F209</f>
        <v>3300000</v>
      </c>
      <c r="G619" s="94"/>
    </row>
    <row r="620" spans="1:7">
      <c r="A620" s="53"/>
      <c r="C620" s="56" t="s">
        <v>387</v>
      </c>
      <c r="E620" s="57">
        <f>E213</f>
        <v>130000</v>
      </c>
      <c r="F620" s="57">
        <f>F213</f>
        <v>130000</v>
      </c>
      <c r="G620" s="94"/>
    </row>
    <row r="621" spans="1:7">
      <c r="A621" s="53"/>
      <c r="C621" s="56" t="s">
        <v>332</v>
      </c>
      <c r="E621" s="57">
        <f>E220+E103</f>
        <v>4100000</v>
      </c>
      <c r="F621" s="57">
        <f>F220+F103</f>
        <v>4100000</v>
      </c>
      <c r="G621" s="94"/>
    </row>
    <row r="622" spans="1:7">
      <c r="A622" s="53"/>
      <c r="C622" s="56" t="s">
        <v>832</v>
      </c>
      <c r="E622" s="57">
        <f>E189</f>
        <v>100000</v>
      </c>
      <c r="F622" s="57">
        <f>F189</f>
        <v>100000</v>
      </c>
      <c r="G622" s="94"/>
    </row>
    <row r="623" spans="1:7">
      <c r="A623" s="53"/>
      <c r="C623" s="56" t="s">
        <v>466</v>
      </c>
      <c r="E623" s="57">
        <f>E543</f>
        <v>50000</v>
      </c>
      <c r="F623" s="57">
        <f>F543</f>
        <v>50000</v>
      </c>
      <c r="G623" s="94"/>
    </row>
    <row r="624" spans="1:7">
      <c r="A624" s="53"/>
      <c r="C624" s="56" t="s">
        <v>515</v>
      </c>
      <c r="E624" s="57">
        <f>E261</f>
        <v>9700000</v>
      </c>
      <c r="F624" s="57">
        <f>F261</f>
        <v>6000000</v>
      </c>
      <c r="G624" s="94"/>
    </row>
    <row r="625" spans="1:7">
      <c r="A625" s="53"/>
      <c r="C625" s="56" t="s">
        <v>556</v>
      </c>
      <c r="E625" s="57">
        <f>E273</f>
        <v>6616389.0700000003</v>
      </c>
      <c r="F625" s="57">
        <f>F273</f>
        <v>7351540.5999999996</v>
      </c>
      <c r="G625" s="94"/>
    </row>
    <row r="626" spans="1:7">
      <c r="A626" s="53"/>
      <c r="C626" s="56" t="s">
        <v>561</v>
      </c>
      <c r="E626" s="57">
        <f>E278</f>
        <v>13357687.199999999</v>
      </c>
      <c r="F626" s="57">
        <f>F278</f>
        <v>13357687.207</v>
      </c>
      <c r="G626" s="94"/>
    </row>
    <row r="627" spans="1:7">
      <c r="A627" s="53"/>
      <c r="C627" s="56" t="s">
        <v>127</v>
      </c>
      <c r="E627" s="57">
        <f>E18+E23+E38+E45+E51+E109+E166+E171+E177+E183+E224+E478+E498+E509+E156</f>
        <v>152341492.48000002</v>
      </c>
      <c r="F627" s="57">
        <f>F18+F23+F38+F45+F51+F109+F166+F171+F177+F183+F224+F478+F498+F509+F156</f>
        <v>156132586.13</v>
      </c>
      <c r="G627" s="94"/>
    </row>
    <row r="628" spans="1:7">
      <c r="A628" s="53"/>
      <c r="C628" s="56"/>
      <c r="E628" s="57">
        <f>SUM(E583:E627)</f>
        <v>895033955.51600027</v>
      </c>
      <c r="F628" s="57">
        <f>SUM(F583:F627)</f>
        <v>916778278.91699994</v>
      </c>
      <c r="G628" s="94"/>
    </row>
    <row r="629" spans="1:7">
      <c r="A629" s="53"/>
      <c r="C629" s="56"/>
      <c r="E629" s="57">
        <f>SUM(E583:E626)</f>
        <v>742692463.03600025</v>
      </c>
      <c r="F629" s="57">
        <f>SUM(F583:F626)</f>
        <v>760645692.78699994</v>
      </c>
      <c r="G629" s="94"/>
    </row>
    <row r="631" spans="1:7">
      <c r="E631" s="57">
        <f>E579-E628</f>
        <v>0</v>
      </c>
      <c r="F631" s="57">
        <f>F579-F628</f>
        <v>0</v>
      </c>
    </row>
  </sheetData>
  <mergeCells count="10">
    <mergeCell ref="E3:F3"/>
    <mergeCell ref="E4:F4"/>
    <mergeCell ref="D2:F2"/>
    <mergeCell ref="E1:F1"/>
    <mergeCell ref="A554:D554"/>
    <mergeCell ref="A9:F9"/>
    <mergeCell ref="A10:F10"/>
    <mergeCell ref="A11:F11"/>
    <mergeCell ref="A12:F12"/>
    <mergeCell ref="A13:F13"/>
  </mergeCells>
  <pageMargins left="1.1811023622047245" right="0.39370078740157483" top="0.39370078740157483" bottom="0.39370078740157483" header="0.31496062992125984" footer="0.31496062992125984"/>
  <pageSetup paperSize="9" scale="58" fitToHeight="0" orientation="portrait" r:id="rId1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89"/>
  <sheetViews>
    <sheetView zoomScaleNormal="100" zoomScaleSheetLayoutView="93" workbookViewId="0">
      <selection activeCell="B1" sqref="B1:C1"/>
    </sheetView>
  </sheetViews>
  <sheetFormatPr defaultRowHeight="18"/>
  <cols>
    <col min="1" max="1" width="95.88671875" style="53" customWidth="1"/>
    <col min="2" max="2" width="16.44140625" style="53" customWidth="1"/>
    <col min="3" max="3" width="18.109375" style="53" customWidth="1"/>
    <col min="4" max="4" width="9.109375" style="11"/>
    <col min="5" max="5" width="17.109375" style="5" customWidth="1"/>
    <col min="6" max="6" width="13.44140625" style="11" customWidth="1"/>
    <col min="7" max="7" width="16.10937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4414062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4414062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4414062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4414062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4414062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4414062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4414062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4414062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4414062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4414062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4414062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4414062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4414062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4414062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4414062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4414062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4414062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4414062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4414062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4414062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4414062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4414062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4414062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4414062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4414062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4414062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4414062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4414062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4414062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4414062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4414062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4414062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4414062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4414062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4414062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4414062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4414062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4414062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4414062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4414062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4414062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4414062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4414062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4414062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4414062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4414062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4414062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4414062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4414062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4414062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4414062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4414062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4414062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4414062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4414062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4414062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4414062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4414062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4414062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4414062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4414062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4414062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4414062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B1" s="350" t="s">
        <v>253</v>
      </c>
      <c r="C1" s="350"/>
    </row>
    <row r="2" spans="1:11">
      <c r="A2" s="350" t="s">
        <v>933</v>
      </c>
      <c r="B2" s="350"/>
      <c r="C2" s="350"/>
    </row>
    <row r="3" spans="1:11">
      <c r="B3" s="350" t="s">
        <v>940</v>
      </c>
      <c r="C3" s="350"/>
    </row>
    <row r="4" spans="1:11">
      <c r="B4" s="350" t="s">
        <v>944</v>
      </c>
      <c r="C4" s="350"/>
    </row>
    <row r="5" spans="1:11">
      <c r="C5" s="73" t="s">
        <v>425</v>
      </c>
    </row>
    <row r="6" spans="1:11">
      <c r="C6" s="73" t="s">
        <v>933</v>
      </c>
    </row>
    <row r="7" spans="1:11">
      <c r="C7" s="73" t="s">
        <v>664</v>
      </c>
    </row>
    <row r="8" spans="1:11">
      <c r="C8" s="73" t="s">
        <v>937</v>
      </c>
    </row>
    <row r="9" spans="1:11">
      <c r="A9" s="365" t="s">
        <v>196</v>
      </c>
      <c r="B9" s="376"/>
      <c r="C9" s="376"/>
    </row>
    <row r="10" spans="1:11">
      <c r="A10" s="358" t="s">
        <v>847</v>
      </c>
      <c r="B10" s="377"/>
      <c r="C10" s="377"/>
    </row>
    <row r="11" spans="1:11" s="10" customFormat="1">
      <c r="A11" s="165"/>
      <c r="B11" s="166"/>
      <c r="C11" s="65" t="s">
        <v>408</v>
      </c>
      <c r="D11" s="12"/>
      <c r="E11" s="13"/>
      <c r="F11" s="12"/>
    </row>
    <row r="12" spans="1:11">
      <c r="A12" s="42" t="s">
        <v>242</v>
      </c>
      <c r="B12" s="42" t="s">
        <v>3</v>
      </c>
      <c r="C12" s="42" t="s">
        <v>197</v>
      </c>
    </row>
    <row r="13" spans="1:11" ht="34.799999999999997">
      <c r="A13" s="43" t="s">
        <v>853</v>
      </c>
      <c r="B13" s="44" t="s">
        <v>138</v>
      </c>
      <c r="C13" s="82">
        <f>C14+C19+C24+C29+C30+C31</f>
        <v>590381202.76999998</v>
      </c>
      <c r="D13" s="5"/>
      <c r="E13" s="97"/>
      <c r="F13" s="6"/>
      <c r="G13" s="4"/>
      <c r="H13" s="4"/>
      <c r="I13" s="4"/>
      <c r="J13" s="68"/>
      <c r="K13" s="68"/>
    </row>
    <row r="14" spans="1:11" ht="36">
      <c r="A14" s="58" t="s">
        <v>854</v>
      </c>
      <c r="B14" s="59" t="s">
        <v>139</v>
      </c>
      <c r="C14" s="91">
        <f>C15+C16+C17+C18</f>
        <v>131513974.53</v>
      </c>
      <c r="D14" s="5"/>
      <c r="E14" s="97"/>
      <c r="F14" s="6"/>
      <c r="G14" s="4"/>
      <c r="H14" s="4"/>
      <c r="I14" s="4"/>
      <c r="J14" s="68"/>
      <c r="K14" s="68"/>
    </row>
    <row r="15" spans="1:11" ht="36">
      <c r="A15" s="60" t="s">
        <v>202</v>
      </c>
      <c r="B15" s="61" t="s">
        <v>219</v>
      </c>
      <c r="C15" s="81">
        <f>'прил 13 '!E364</f>
        <v>124730052</v>
      </c>
      <c r="D15" s="5"/>
      <c r="E15" s="97"/>
      <c r="F15" s="6"/>
      <c r="G15" s="4"/>
      <c r="H15" s="4"/>
      <c r="I15" s="4"/>
      <c r="J15" s="68"/>
      <c r="K15" s="68"/>
    </row>
    <row r="16" spans="1:11" ht="36">
      <c r="A16" s="60" t="s">
        <v>203</v>
      </c>
      <c r="B16" s="61" t="s">
        <v>221</v>
      </c>
      <c r="C16" s="81">
        <f>'прил 13 '!E371</f>
        <v>3604853.5300000003</v>
      </c>
      <c r="D16" s="5"/>
      <c r="E16" s="97"/>
      <c r="F16" s="6"/>
      <c r="G16" s="4"/>
      <c r="H16" s="4"/>
      <c r="I16" s="4"/>
      <c r="J16" s="68"/>
      <c r="K16" s="68"/>
    </row>
    <row r="17" spans="1:11" ht="18" customHeight="1">
      <c r="A17" s="62" t="s">
        <v>204</v>
      </c>
      <c r="B17" s="61" t="s">
        <v>234</v>
      </c>
      <c r="C17" s="81">
        <f>'прил 13 '!E577</f>
        <v>3179069</v>
      </c>
      <c r="D17" s="5"/>
      <c r="E17" s="97"/>
      <c r="F17" s="6"/>
      <c r="G17" s="4"/>
      <c r="H17" s="4"/>
      <c r="I17" s="4"/>
      <c r="J17" s="68"/>
      <c r="K17" s="68"/>
    </row>
    <row r="18" spans="1:11" ht="36" hidden="1">
      <c r="A18" s="161" t="s">
        <v>602</v>
      </c>
      <c r="B18" s="61" t="s">
        <v>603</v>
      </c>
      <c r="C18" s="81">
        <f>'прил 13 '!E396</f>
        <v>0</v>
      </c>
      <c r="D18" s="5"/>
      <c r="E18" s="97"/>
      <c r="F18" s="6"/>
      <c r="G18" s="4"/>
      <c r="H18" s="4"/>
      <c r="I18" s="4"/>
      <c r="J18" s="68"/>
      <c r="K18" s="68"/>
    </row>
    <row r="19" spans="1:11" ht="36">
      <c r="A19" s="63" t="s">
        <v>892</v>
      </c>
      <c r="B19" s="59" t="s">
        <v>146</v>
      </c>
      <c r="C19" s="170">
        <f>C20+C21+C22+C23</f>
        <v>410329768.24000001</v>
      </c>
      <c r="D19" s="5"/>
      <c r="E19" s="97"/>
      <c r="F19" s="6"/>
      <c r="G19" s="4"/>
      <c r="H19" s="4"/>
      <c r="I19" s="4"/>
      <c r="J19" s="68"/>
      <c r="K19" s="68"/>
    </row>
    <row r="20" spans="1:11" ht="36">
      <c r="A20" s="60" t="s">
        <v>205</v>
      </c>
      <c r="B20" s="61" t="s">
        <v>222</v>
      </c>
      <c r="C20" s="171">
        <f>'прил 13 '!E403</f>
        <v>363408028.19999999</v>
      </c>
      <c r="D20" s="5"/>
      <c r="E20" s="97"/>
      <c r="F20" s="6"/>
      <c r="G20" s="4"/>
      <c r="H20" s="4"/>
      <c r="I20" s="4"/>
      <c r="J20" s="68"/>
      <c r="K20" s="68"/>
    </row>
    <row r="21" spans="1:11" ht="36">
      <c r="A21" s="62" t="s">
        <v>206</v>
      </c>
      <c r="B21" s="61" t="s">
        <v>220</v>
      </c>
      <c r="C21" s="81">
        <f>'прил 13 '!E416+'прил 13 '!E476</f>
        <v>38956990.039999999</v>
      </c>
      <c r="D21" s="5"/>
      <c r="E21" s="97"/>
      <c r="F21" s="6"/>
      <c r="G21" s="4"/>
      <c r="H21" s="4"/>
      <c r="I21" s="4"/>
      <c r="J21" s="68"/>
      <c r="K21" s="68"/>
    </row>
    <row r="22" spans="1:11" ht="36">
      <c r="A22" s="62" t="s">
        <v>247</v>
      </c>
      <c r="B22" s="61" t="s">
        <v>223</v>
      </c>
      <c r="C22" s="81">
        <f>'прил 13 '!E432+'прил 13 '!E480</f>
        <v>7964750</v>
      </c>
      <c r="D22" s="5"/>
      <c r="E22" s="97"/>
      <c r="F22" s="6"/>
      <c r="G22" s="4"/>
      <c r="H22" s="4"/>
      <c r="I22" s="4"/>
      <c r="J22" s="68"/>
      <c r="K22" s="68"/>
    </row>
    <row r="23" spans="1:11" hidden="1">
      <c r="A23" s="62" t="s">
        <v>469</v>
      </c>
      <c r="B23" s="61" t="s">
        <v>313</v>
      </c>
      <c r="C23" s="81">
        <f>'прил 13 '!E436</f>
        <v>0</v>
      </c>
      <c r="D23" s="5"/>
      <c r="E23" s="97"/>
      <c r="F23" s="6"/>
      <c r="G23" s="4"/>
      <c r="H23" s="4"/>
      <c r="I23" s="4"/>
      <c r="J23" s="68"/>
      <c r="K23" s="68"/>
    </row>
    <row r="24" spans="1:11" ht="36">
      <c r="A24" s="63" t="s">
        <v>860</v>
      </c>
      <c r="B24" s="59" t="s">
        <v>149</v>
      </c>
      <c r="C24" s="170">
        <f>C25+C26+C27+C28</f>
        <v>25310464</v>
      </c>
      <c r="D24" s="5"/>
      <c r="E24" s="97"/>
      <c r="F24" s="6"/>
      <c r="G24" s="4"/>
      <c r="H24" s="4"/>
      <c r="I24" s="4"/>
      <c r="J24" s="68"/>
      <c r="K24" s="68"/>
    </row>
    <row r="25" spans="1:11" ht="36">
      <c r="A25" s="60" t="s">
        <v>207</v>
      </c>
      <c r="B25" s="61" t="s">
        <v>224</v>
      </c>
      <c r="C25" s="171">
        <f>'прил 13 '!E443</f>
        <v>23996964</v>
      </c>
      <c r="D25" s="5"/>
      <c r="E25" s="97"/>
      <c r="F25" s="6"/>
      <c r="G25" s="4"/>
      <c r="H25" s="4"/>
      <c r="I25" s="4"/>
      <c r="J25" s="68"/>
      <c r="K25" s="68"/>
    </row>
    <row r="26" spans="1:11" ht="36">
      <c r="A26" s="60" t="s">
        <v>208</v>
      </c>
      <c r="B26" s="61" t="s">
        <v>225</v>
      </c>
      <c r="C26" s="81">
        <f>'прил 13 '!E447</f>
        <v>110500</v>
      </c>
      <c r="D26" s="5"/>
      <c r="E26" s="97"/>
      <c r="F26" s="6"/>
      <c r="G26" s="4"/>
      <c r="H26" s="4"/>
      <c r="I26" s="4"/>
      <c r="J26" s="68"/>
      <c r="K26" s="68"/>
    </row>
    <row r="27" spans="1:11" hidden="1">
      <c r="A27" s="60" t="s">
        <v>305</v>
      </c>
      <c r="B27" s="61" t="s">
        <v>304</v>
      </c>
      <c r="C27" s="81">
        <v>0</v>
      </c>
      <c r="D27" s="5"/>
      <c r="E27" s="97"/>
      <c r="F27" s="6"/>
      <c r="G27" s="4"/>
      <c r="H27" s="4"/>
      <c r="I27" s="4"/>
      <c r="J27" s="68"/>
      <c r="K27" s="68"/>
    </row>
    <row r="28" spans="1:11" ht="36">
      <c r="A28" s="75" t="s">
        <v>768</v>
      </c>
      <c r="B28" s="61" t="s">
        <v>829</v>
      </c>
      <c r="C28" s="81">
        <f>'прил 13 '!E461</f>
        <v>1203000</v>
      </c>
      <c r="D28" s="5"/>
      <c r="E28" s="97"/>
      <c r="F28" s="6"/>
      <c r="G28" s="4"/>
      <c r="H28" s="4"/>
      <c r="I28" s="4"/>
      <c r="J28" s="68"/>
      <c r="K28" s="68"/>
    </row>
    <row r="29" spans="1:11" ht="36">
      <c r="A29" s="60" t="s">
        <v>209</v>
      </c>
      <c r="B29" s="61" t="s">
        <v>226</v>
      </c>
      <c r="C29" s="81">
        <f>'прил 13 '!E494</f>
        <v>21791996</v>
      </c>
      <c r="D29" s="5"/>
      <c r="E29" s="97"/>
      <c r="F29" s="6"/>
      <c r="G29" s="4"/>
      <c r="H29" s="4"/>
      <c r="I29" s="4"/>
      <c r="J29" s="68"/>
      <c r="K29" s="68"/>
    </row>
    <row r="30" spans="1:11">
      <c r="A30" s="60" t="s">
        <v>238</v>
      </c>
      <c r="B30" s="61" t="s">
        <v>237</v>
      </c>
      <c r="C30" s="81">
        <f>'прил 13 '!E488</f>
        <v>125000</v>
      </c>
      <c r="D30" s="5"/>
      <c r="E30" s="97"/>
      <c r="F30" s="6"/>
      <c r="G30" s="4"/>
      <c r="H30" s="4"/>
      <c r="I30" s="4"/>
      <c r="J30" s="68"/>
      <c r="K30" s="68"/>
    </row>
    <row r="31" spans="1:11">
      <c r="A31" s="70" t="s">
        <v>752</v>
      </c>
      <c r="B31" s="61" t="s">
        <v>750</v>
      </c>
      <c r="C31" s="81">
        <f>'прил 13 '!E556</f>
        <v>1310000</v>
      </c>
      <c r="D31" s="5"/>
      <c r="E31" s="97"/>
      <c r="F31" s="6"/>
      <c r="G31" s="4"/>
      <c r="H31" s="4"/>
      <c r="I31" s="4"/>
      <c r="J31" s="68"/>
      <c r="K31" s="68"/>
    </row>
    <row r="32" spans="1:11" ht="34.799999999999997">
      <c r="A32" s="43" t="s">
        <v>893</v>
      </c>
      <c r="B32" s="44" t="s">
        <v>136</v>
      </c>
      <c r="C32" s="82">
        <f>C33+C34+C35+C36</f>
        <v>52813523.519999996</v>
      </c>
      <c r="D32" s="5"/>
      <c r="E32" s="97"/>
      <c r="F32" s="6"/>
      <c r="G32" s="4"/>
      <c r="H32" s="4"/>
      <c r="I32" s="4"/>
      <c r="J32" s="68"/>
      <c r="K32" s="68"/>
    </row>
    <row r="33" spans="1:11" ht="36">
      <c r="A33" s="60" t="s">
        <v>210</v>
      </c>
      <c r="B33" s="61" t="s">
        <v>227</v>
      </c>
      <c r="C33" s="81">
        <f>'прил 13 '!E515</f>
        <v>9334070.6100000013</v>
      </c>
      <c r="D33" s="5"/>
      <c r="E33" s="97"/>
      <c r="F33" s="6"/>
      <c r="G33" s="4"/>
      <c r="H33" s="4"/>
      <c r="I33" s="4"/>
      <c r="J33" s="68"/>
      <c r="K33" s="68"/>
    </row>
    <row r="34" spans="1:11" ht="36">
      <c r="A34" s="60" t="s">
        <v>207</v>
      </c>
      <c r="B34" s="61" t="s">
        <v>228</v>
      </c>
      <c r="C34" s="81">
        <f>'прил 13 '!E465</f>
        <v>18193102.579999998</v>
      </c>
      <c r="D34" s="5"/>
      <c r="E34" s="97"/>
      <c r="F34" s="6"/>
      <c r="G34" s="4"/>
      <c r="H34" s="4"/>
      <c r="I34" s="4"/>
      <c r="J34" s="68"/>
      <c r="K34" s="68"/>
    </row>
    <row r="35" spans="1:11">
      <c r="A35" s="60" t="s">
        <v>211</v>
      </c>
      <c r="B35" s="61" t="s">
        <v>229</v>
      </c>
      <c r="C35" s="81">
        <f>'прил 13 '!E469+'прил 13 '!E529+'прил 13 '!E536</f>
        <v>1047007.39</v>
      </c>
      <c r="D35" s="5"/>
      <c r="E35" s="97"/>
      <c r="F35" s="6"/>
      <c r="G35" s="4"/>
      <c r="H35" s="4"/>
      <c r="I35" s="4"/>
      <c r="J35" s="68"/>
      <c r="K35" s="68"/>
    </row>
    <row r="36" spans="1:11" ht="26.4" customHeight="1">
      <c r="A36" s="60" t="s">
        <v>689</v>
      </c>
      <c r="B36" s="61" t="s">
        <v>688</v>
      </c>
      <c r="C36" s="81">
        <f>'прил 13 '!E519</f>
        <v>24239342.940000001</v>
      </c>
      <c r="D36" s="5"/>
      <c r="E36" s="97"/>
      <c r="F36" s="6"/>
      <c r="G36" s="4"/>
      <c r="H36" s="4"/>
      <c r="I36" s="4"/>
      <c r="J36" s="68"/>
      <c r="K36" s="68"/>
    </row>
    <row r="37" spans="1:11" ht="34.799999999999997">
      <c r="A37" s="43" t="s">
        <v>870</v>
      </c>
      <c r="B37" s="44" t="s">
        <v>135</v>
      </c>
      <c r="C37" s="82">
        <f>C38+C39</f>
        <v>470000</v>
      </c>
      <c r="D37" s="5"/>
      <c r="E37" s="97"/>
      <c r="F37" s="6"/>
      <c r="G37" s="4"/>
      <c r="H37" s="4"/>
      <c r="I37" s="4"/>
      <c r="J37" s="68"/>
      <c r="K37" s="68"/>
    </row>
    <row r="38" spans="1:11" ht="36">
      <c r="A38" s="60" t="s">
        <v>894</v>
      </c>
      <c r="B38" s="61" t="s">
        <v>392</v>
      </c>
      <c r="C38" s="80">
        <f>'прил 13 '!E347</f>
        <v>440000</v>
      </c>
      <c r="D38" s="5"/>
      <c r="E38" s="97"/>
      <c r="F38" s="6"/>
      <c r="G38" s="4"/>
      <c r="H38" s="4"/>
      <c r="I38" s="4"/>
      <c r="J38" s="68"/>
      <c r="K38" s="68"/>
    </row>
    <row r="39" spans="1:11">
      <c r="A39" s="60" t="s">
        <v>248</v>
      </c>
      <c r="B39" s="61" t="s">
        <v>246</v>
      </c>
      <c r="C39" s="81">
        <f>'прил 13 '!E351</f>
        <v>30000</v>
      </c>
      <c r="D39" s="5"/>
      <c r="E39" s="97"/>
      <c r="F39" s="6"/>
      <c r="G39" s="4"/>
      <c r="H39" s="4"/>
      <c r="I39" s="4"/>
      <c r="J39" s="68"/>
      <c r="K39" s="68"/>
    </row>
    <row r="40" spans="1:11" ht="34.799999999999997">
      <c r="A40" s="43" t="s">
        <v>895</v>
      </c>
      <c r="B40" s="44" t="s">
        <v>200</v>
      </c>
      <c r="C40" s="82">
        <f>C41+C42</f>
        <v>2713559.99</v>
      </c>
      <c r="D40" s="5"/>
      <c r="E40" s="97"/>
      <c r="F40" s="6"/>
      <c r="G40" s="4"/>
      <c r="H40" s="4"/>
      <c r="I40" s="4"/>
      <c r="J40" s="68"/>
      <c r="K40" s="68"/>
    </row>
    <row r="41" spans="1:11" ht="36">
      <c r="A41" s="60" t="s">
        <v>865</v>
      </c>
      <c r="B41" s="61" t="s">
        <v>230</v>
      </c>
      <c r="C41" s="81">
        <f>'прил 13 '!E603</f>
        <v>861000</v>
      </c>
      <c r="D41" s="5"/>
      <c r="E41" s="97"/>
      <c r="F41" s="6"/>
      <c r="G41" s="4"/>
      <c r="H41" s="4"/>
      <c r="I41" s="4"/>
      <c r="J41" s="68"/>
      <c r="K41" s="68"/>
    </row>
    <row r="42" spans="1:11">
      <c r="A42" s="62" t="s">
        <v>305</v>
      </c>
      <c r="B42" s="61" t="s">
        <v>303</v>
      </c>
      <c r="C42" s="81">
        <f>'прил 13 '!E609</f>
        <v>1852559.99</v>
      </c>
      <c r="D42" s="5"/>
      <c r="E42" s="97"/>
      <c r="F42" s="6"/>
      <c r="G42" s="4"/>
      <c r="H42" s="4"/>
      <c r="I42" s="4"/>
      <c r="J42" s="68"/>
      <c r="K42" s="68"/>
    </row>
    <row r="43" spans="1:11" ht="34.799999999999997">
      <c r="A43" s="43" t="s">
        <v>890</v>
      </c>
      <c r="B43" s="44" t="s">
        <v>129</v>
      </c>
      <c r="C43" s="82">
        <f>C44</f>
        <v>150000</v>
      </c>
      <c r="D43" s="5"/>
      <c r="E43" s="97"/>
      <c r="F43" s="6"/>
      <c r="G43" s="4"/>
      <c r="H43" s="4"/>
      <c r="I43" s="4"/>
      <c r="J43" s="68"/>
      <c r="K43" s="68"/>
    </row>
    <row r="44" spans="1:11" ht="36">
      <c r="A44" s="62" t="s">
        <v>419</v>
      </c>
      <c r="B44" s="61" t="s">
        <v>413</v>
      </c>
      <c r="C44" s="81">
        <f>'прил 13 '!E561</f>
        <v>150000</v>
      </c>
      <c r="D44" s="5"/>
      <c r="E44" s="97"/>
      <c r="F44" s="6"/>
      <c r="G44" s="4"/>
      <c r="H44" s="4"/>
      <c r="I44" s="4"/>
      <c r="J44" s="68"/>
      <c r="K44" s="68"/>
    </row>
    <row r="45" spans="1:11" ht="34.799999999999997">
      <c r="A45" s="43" t="s">
        <v>858</v>
      </c>
      <c r="B45" s="44" t="s">
        <v>128</v>
      </c>
      <c r="C45" s="82">
        <f>C46+C47+C48</f>
        <v>23139455</v>
      </c>
      <c r="D45" s="5"/>
      <c r="E45" s="97"/>
      <c r="F45" s="6"/>
      <c r="G45" s="4"/>
      <c r="H45" s="4"/>
      <c r="I45" s="4"/>
      <c r="J45" s="68"/>
      <c r="K45" s="68"/>
    </row>
    <row r="46" spans="1:11" ht="36">
      <c r="A46" s="62" t="s">
        <v>863</v>
      </c>
      <c r="B46" s="61" t="s">
        <v>315</v>
      </c>
      <c r="C46" s="81">
        <f>'прил 13 '!E72</f>
        <v>886905</v>
      </c>
      <c r="D46" s="5"/>
      <c r="E46" s="97"/>
      <c r="F46" s="6"/>
      <c r="G46" s="4"/>
      <c r="H46" s="4"/>
      <c r="I46" s="4"/>
      <c r="J46" s="68"/>
      <c r="K46" s="68"/>
    </row>
    <row r="47" spans="1:11">
      <c r="A47" s="60" t="s">
        <v>216</v>
      </c>
      <c r="B47" s="61" t="s">
        <v>231</v>
      </c>
      <c r="C47" s="81">
        <f>'прил 13 '!E79</f>
        <v>20801450</v>
      </c>
      <c r="D47" s="5"/>
      <c r="E47" s="97"/>
      <c r="F47" s="6"/>
      <c r="G47" s="4"/>
      <c r="H47" s="4"/>
      <c r="I47" s="4"/>
      <c r="J47" s="68"/>
      <c r="K47" s="68"/>
    </row>
    <row r="48" spans="1:11">
      <c r="A48" s="60" t="s">
        <v>704</v>
      </c>
      <c r="B48" s="61" t="s">
        <v>270</v>
      </c>
      <c r="C48" s="81">
        <f>'прил 13 '!E87</f>
        <v>1451100</v>
      </c>
      <c r="D48" s="5"/>
      <c r="E48" s="97"/>
      <c r="F48" s="6"/>
      <c r="G48" s="4"/>
      <c r="H48" s="4"/>
      <c r="I48" s="4"/>
      <c r="J48" s="68"/>
      <c r="K48" s="68"/>
    </row>
    <row r="49" spans="1:11" ht="39.15" customHeight="1">
      <c r="A49" s="43" t="s">
        <v>872</v>
      </c>
      <c r="B49" s="44" t="s">
        <v>134</v>
      </c>
      <c r="C49" s="82">
        <f>C50+C51+C52</f>
        <v>63741662.949999996</v>
      </c>
      <c r="D49" s="5"/>
      <c r="E49" s="97"/>
      <c r="F49" s="6"/>
      <c r="G49" s="4"/>
      <c r="H49" s="4"/>
      <c r="I49" s="4"/>
      <c r="J49" s="68"/>
      <c r="K49" s="68"/>
    </row>
    <row r="50" spans="1:11" ht="36">
      <c r="A50" s="60" t="s">
        <v>896</v>
      </c>
      <c r="B50" s="61" t="s">
        <v>350</v>
      </c>
      <c r="C50" s="81">
        <f>'прил 13 '!E250+'прил 13 '!E337</f>
        <v>60749346.949999996</v>
      </c>
      <c r="D50" s="5"/>
      <c r="E50" s="97"/>
      <c r="F50" s="6"/>
      <c r="G50" s="4"/>
      <c r="H50" s="4"/>
      <c r="I50" s="4"/>
      <c r="J50" s="68"/>
      <c r="K50" s="68"/>
    </row>
    <row r="51" spans="1:11">
      <c r="A51" s="64" t="s">
        <v>218</v>
      </c>
      <c r="B51" s="61" t="s">
        <v>232</v>
      </c>
      <c r="C51" s="81">
        <f>'прил 13 '!E288</f>
        <v>2992316</v>
      </c>
      <c r="D51" s="5"/>
      <c r="E51" s="97"/>
      <c r="F51" s="6"/>
      <c r="G51" s="4"/>
      <c r="H51" s="4"/>
      <c r="I51" s="4"/>
      <c r="J51" s="68"/>
      <c r="K51" s="68"/>
    </row>
    <row r="52" spans="1:11" hidden="1">
      <c r="A52" s="334" t="s">
        <v>456</v>
      </c>
      <c r="B52" s="333" t="s">
        <v>714</v>
      </c>
      <c r="C52" s="335">
        <f>'прил 13 '!E276</f>
        <v>0</v>
      </c>
      <c r="D52" s="5"/>
      <c r="E52" s="97"/>
      <c r="F52" s="6"/>
      <c r="G52" s="4"/>
      <c r="H52" s="4"/>
      <c r="I52" s="4"/>
      <c r="J52" s="68"/>
      <c r="K52" s="68"/>
    </row>
    <row r="53" spans="1:11" ht="34.799999999999997">
      <c r="A53" s="110" t="s">
        <v>881</v>
      </c>
      <c r="B53" s="44" t="s">
        <v>131</v>
      </c>
      <c r="C53" s="82">
        <f>C54</f>
        <v>50000</v>
      </c>
      <c r="D53" s="5"/>
      <c r="E53" s="97"/>
      <c r="F53" s="6"/>
      <c r="G53" s="4"/>
      <c r="H53" s="4"/>
      <c r="I53" s="4"/>
      <c r="J53" s="68"/>
      <c r="K53" s="68"/>
    </row>
    <row r="54" spans="1:11">
      <c r="A54" s="64" t="s">
        <v>324</v>
      </c>
      <c r="B54" s="61" t="s">
        <v>233</v>
      </c>
      <c r="C54" s="81">
        <f>'прил 13 '!E97</f>
        <v>50000</v>
      </c>
      <c r="D54" s="5"/>
      <c r="E54" s="97"/>
      <c r="F54" s="6"/>
      <c r="G54" s="4"/>
      <c r="H54" s="4"/>
      <c r="I54" s="4"/>
      <c r="J54" s="68"/>
      <c r="K54" s="68"/>
    </row>
    <row r="55" spans="1:11" ht="52.2">
      <c r="A55" s="43" t="s">
        <v>878</v>
      </c>
      <c r="B55" s="44" t="s">
        <v>412</v>
      </c>
      <c r="C55" s="82">
        <f>C56</f>
        <v>100000</v>
      </c>
      <c r="D55" s="5"/>
      <c r="E55" s="97"/>
      <c r="F55" s="6"/>
      <c r="G55" s="4"/>
      <c r="H55" s="4"/>
      <c r="I55" s="4"/>
      <c r="J55" s="68"/>
      <c r="K55" s="68"/>
    </row>
    <row r="56" spans="1:11" ht="36">
      <c r="A56" s="45" t="s">
        <v>801</v>
      </c>
      <c r="B56" s="46" t="s">
        <v>414</v>
      </c>
      <c r="C56" s="81">
        <f>'прил 13 '!E222</f>
        <v>100000</v>
      </c>
      <c r="D56" s="5"/>
      <c r="E56" s="97"/>
      <c r="F56" s="6"/>
      <c r="G56" s="4"/>
      <c r="H56" s="4"/>
      <c r="I56" s="4"/>
      <c r="J56" s="68"/>
      <c r="K56" s="68"/>
    </row>
    <row r="57" spans="1:11" ht="34.799999999999997">
      <c r="A57" s="43" t="s">
        <v>897</v>
      </c>
      <c r="B57" s="44" t="s">
        <v>374</v>
      </c>
      <c r="C57" s="82">
        <f>C58</f>
        <v>742359.04000000004</v>
      </c>
      <c r="D57" s="5"/>
      <c r="E57" s="97"/>
      <c r="F57" s="6"/>
      <c r="G57" s="4"/>
      <c r="H57" s="4"/>
      <c r="I57" s="4"/>
      <c r="J57" s="68"/>
      <c r="K57" s="68"/>
    </row>
    <row r="58" spans="1:11" ht="36">
      <c r="A58" s="133" t="s">
        <v>422</v>
      </c>
      <c r="B58" s="61" t="s">
        <v>375</v>
      </c>
      <c r="C58" s="81">
        <f>'прил 13 '!E566</f>
        <v>742359.04000000004</v>
      </c>
      <c r="D58" s="5"/>
      <c r="E58" s="6"/>
      <c r="F58" s="6"/>
      <c r="G58" s="4"/>
      <c r="H58" s="4"/>
      <c r="I58" s="4"/>
      <c r="J58" s="68"/>
      <c r="K58" s="68"/>
    </row>
    <row r="59" spans="1:11" s="104" customFormat="1" ht="38.25" customHeight="1">
      <c r="A59" s="110" t="s">
        <v>857</v>
      </c>
      <c r="B59" s="99" t="s">
        <v>317</v>
      </c>
      <c r="C59" s="100">
        <f>C60</f>
        <v>4560714</v>
      </c>
      <c r="D59" s="101"/>
      <c r="E59" s="102"/>
      <c r="F59" s="102"/>
      <c r="G59" s="102"/>
      <c r="H59" s="102"/>
      <c r="I59" s="102"/>
      <c r="J59" s="103"/>
      <c r="K59" s="103"/>
    </row>
    <row r="60" spans="1:11" ht="36">
      <c r="A60" s="60" t="s">
        <v>249</v>
      </c>
      <c r="B60" s="61" t="s">
        <v>318</v>
      </c>
      <c r="C60" s="81">
        <f>'прил 13 '!E102+'прил 13 '!E633</f>
        <v>4560714</v>
      </c>
      <c r="D60" s="5"/>
      <c r="E60" s="6"/>
      <c r="F60" s="6"/>
      <c r="G60" s="4"/>
      <c r="H60" s="4"/>
      <c r="I60" s="4"/>
      <c r="J60" s="68"/>
      <c r="K60" s="68"/>
    </row>
    <row r="61" spans="1:11" ht="52.2">
      <c r="A61" s="96" t="s">
        <v>879</v>
      </c>
      <c r="B61" s="44" t="s">
        <v>335</v>
      </c>
      <c r="C61" s="82">
        <f>C62</f>
        <v>36551150</v>
      </c>
      <c r="D61" s="5"/>
      <c r="E61" s="97"/>
      <c r="F61" s="6"/>
      <c r="G61" s="4"/>
      <c r="H61" s="4"/>
      <c r="I61" s="4"/>
      <c r="J61" s="68"/>
      <c r="K61" s="68"/>
    </row>
    <row r="62" spans="1:11" ht="36">
      <c r="A62" s="64" t="s">
        <v>217</v>
      </c>
      <c r="B62" s="61" t="s">
        <v>337</v>
      </c>
      <c r="C62" s="81">
        <f>'прил 13 '!E210</f>
        <v>36551150</v>
      </c>
      <c r="D62" s="5"/>
      <c r="E62" s="6"/>
      <c r="F62" s="6"/>
      <c r="G62" s="4"/>
      <c r="H62" s="4"/>
      <c r="I62" s="4"/>
      <c r="J62" s="68"/>
      <c r="K62" s="68"/>
    </row>
    <row r="63" spans="1:11" s="3" customFormat="1" ht="54" customHeight="1">
      <c r="A63" s="43" t="s">
        <v>898</v>
      </c>
      <c r="B63" s="59" t="s">
        <v>363</v>
      </c>
      <c r="C63" s="91">
        <f>C64</f>
        <v>45000</v>
      </c>
      <c r="D63" s="84"/>
      <c r="E63" s="97"/>
      <c r="F63" s="97"/>
      <c r="G63" s="90"/>
      <c r="H63" s="90"/>
      <c r="I63" s="90"/>
      <c r="J63" s="98"/>
      <c r="K63" s="98"/>
    </row>
    <row r="64" spans="1:11" ht="21.15" customHeight="1">
      <c r="A64" s="70" t="s">
        <v>212</v>
      </c>
      <c r="B64" s="61" t="s">
        <v>365</v>
      </c>
      <c r="C64" s="81">
        <f>'прил 13 '!E356</f>
        <v>45000</v>
      </c>
      <c r="D64" s="5"/>
      <c r="E64" s="6"/>
      <c r="F64" s="6"/>
      <c r="G64" s="4"/>
      <c r="H64" s="4"/>
      <c r="I64" s="4"/>
      <c r="J64" s="68"/>
      <c r="K64" s="68"/>
    </row>
    <row r="65" spans="1:11" ht="52.2">
      <c r="A65" s="105" t="s">
        <v>877</v>
      </c>
      <c r="B65" s="44" t="s">
        <v>340</v>
      </c>
      <c r="C65" s="82">
        <f>C66+C67</f>
        <v>343600</v>
      </c>
      <c r="D65" s="5"/>
      <c r="E65" s="97"/>
      <c r="F65" s="6"/>
      <c r="G65" s="4"/>
      <c r="H65" s="4"/>
      <c r="I65" s="4"/>
      <c r="J65" s="68"/>
      <c r="K65" s="68"/>
    </row>
    <row r="66" spans="1:11" ht="22.65" customHeight="1">
      <c r="A66" s="62" t="s">
        <v>423</v>
      </c>
      <c r="B66" s="61" t="s">
        <v>341</v>
      </c>
      <c r="C66" s="81">
        <f>'прил 13 '!E228</f>
        <v>213600</v>
      </c>
      <c r="D66" s="5"/>
      <c r="E66" s="97"/>
      <c r="F66" s="6"/>
      <c r="G66" s="4"/>
      <c r="H66" s="4"/>
      <c r="I66" s="4"/>
      <c r="J66" s="68"/>
      <c r="K66" s="68"/>
    </row>
    <row r="67" spans="1:11" ht="22.65" customHeight="1">
      <c r="A67" s="62" t="s">
        <v>388</v>
      </c>
      <c r="B67" s="61" t="s">
        <v>387</v>
      </c>
      <c r="C67" s="81">
        <f>'прил 13 '!E232</f>
        <v>130000</v>
      </c>
      <c r="D67" s="5"/>
      <c r="E67" s="97"/>
      <c r="F67" s="6"/>
      <c r="G67" s="4"/>
      <c r="H67" s="4"/>
      <c r="I67" s="4"/>
      <c r="J67" s="68"/>
      <c r="K67" s="68"/>
    </row>
    <row r="68" spans="1:11" ht="34.799999999999997">
      <c r="A68" s="105" t="s">
        <v>880</v>
      </c>
      <c r="B68" s="44" t="s">
        <v>331</v>
      </c>
      <c r="C68" s="82">
        <f>C69</f>
        <v>6603366</v>
      </c>
      <c r="D68" s="5"/>
      <c r="E68" s="97"/>
      <c r="F68" s="6"/>
      <c r="G68" s="4"/>
      <c r="H68" s="4"/>
      <c r="I68" s="4"/>
      <c r="J68" s="68"/>
      <c r="K68" s="68"/>
    </row>
    <row r="69" spans="1:11" ht="36">
      <c r="A69" s="60" t="s">
        <v>215</v>
      </c>
      <c r="B69" s="61" t="s">
        <v>332</v>
      </c>
      <c r="C69" s="81">
        <f>'прил 13 '!E110+'прил 13 '!E239+'прил 13 '!E543</f>
        <v>6603366</v>
      </c>
      <c r="D69" s="5"/>
      <c r="E69" s="6"/>
      <c r="F69" s="6"/>
      <c r="G69" s="4"/>
      <c r="H69" s="4"/>
      <c r="I69" s="4"/>
      <c r="J69" s="68"/>
      <c r="K69" s="68"/>
    </row>
    <row r="70" spans="1:11" ht="52.8" customHeight="1">
      <c r="A70" s="255" t="s">
        <v>849</v>
      </c>
      <c r="B70" s="44" t="s">
        <v>320</v>
      </c>
      <c r="C70" s="81">
        <v>100000</v>
      </c>
      <c r="D70" s="5"/>
      <c r="E70" s="6"/>
      <c r="F70" s="6"/>
      <c r="G70" s="4"/>
      <c r="H70" s="4"/>
      <c r="I70" s="4"/>
      <c r="J70" s="68"/>
      <c r="K70" s="68"/>
    </row>
    <row r="71" spans="1:11" ht="34.200000000000003" customHeight="1">
      <c r="A71" s="60" t="s">
        <v>831</v>
      </c>
      <c r="B71" s="61" t="s">
        <v>832</v>
      </c>
      <c r="C71" s="81">
        <v>100000</v>
      </c>
      <c r="D71" s="5"/>
      <c r="E71" s="6"/>
      <c r="F71" s="6"/>
      <c r="G71" s="4"/>
      <c r="H71" s="4"/>
      <c r="I71" s="4"/>
      <c r="J71" s="68"/>
      <c r="K71" s="68"/>
    </row>
    <row r="72" spans="1:11" s="72" customFormat="1" ht="34.799999999999997">
      <c r="A72" s="134" t="s">
        <v>856</v>
      </c>
      <c r="B72" s="44" t="s">
        <v>464</v>
      </c>
      <c r="C72" s="82">
        <f>C73</f>
        <v>50000</v>
      </c>
      <c r="D72" s="106"/>
      <c r="E72" s="107"/>
      <c r="F72" s="106"/>
    </row>
    <row r="73" spans="1:11" s="72" customFormat="1">
      <c r="A73" s="135" t="s">
        <v>465</v>
      </c>
      <c r="B73" s="61" t="s">
        <v>466</v>
      </c>
      <c r="C73" s="81">
        <f>'прил 13 '!E626</f>
        <v>50000</v>
      </c>
      <c r="D73" s="106"/>
      <c r="E73" s="107"/>
      <c r="F73" s="106"/>
    </row>
    <row r="74" spans="1:11" s="3" customFormat="1" ht="34.799999999999997">
      <c r="A74" s="43" t="s">
        <v>512</v>
      </c>
      <c r="B74" s="44" t="s">
        <v>513</v>
      </c>
      <c r="C74" s="82">
        <f>C75</f>
        <v>10857606.060000001</v>
      </c>
      <c r="D74" s="155"/>
      <c r="E74" s="84"/>
      <c r="F74" s="155"/>
    </row>
    <row r="75" spans="1:11" s="72" customFormat="1" ht="23.25" customHeight="1">
      <c r="A75" s="75" t="s">
        <v>514</v>
      </c>
      <c r="B75" s="61">
        <v>1895800000</v>
      </c>
      <c r="C75" s="81">
        <f>'прил 13 '!E299</f>
        <v>10857606.060000001</v>
      </c>
      <c r="D75" s="106"/>
      <c r="E75" s="107"/>
      <c r="F75" s="106"/>
    </row>
    <row r="76" spans="1:11" s="3" customFormat="1" ht="37.5" customHeight="1">
      <c r="A76" s="43" t="s">
        <v>522</v>
      </c>
      <c r="B76" s="44" t="s">
        <v>523</v>
      </c>
      <c r="C76" s="82">
        <f>C77+C79</f>
        <v>22706309.420000002</v>
      </c>
      <c r="D76" s="155"/>
      <c r="E76" s="84"/>
      <c r="F76" s="155"/>
    </row>
    <row r="77" spans="1:11" s="3" customFormat="1" ht="37.5" customHeight="1">
      <c r="A77" s="156" t="s">
        <v>554</v>
      </c>
      <c r="B77" s="158">
        <v>1910000000</v>
      </c>
      <c r="C77" s="91">
        <f>C78</f>
        <v>6967934.4000000004</v>
      </c>
      <c r="D77" s="155"/>
      <c r="E77" s="84"/>
      <c r="F77" s="155"/>
    </row>
    <row r="78" spans="1:11" s="3" customFormat="1" ht="18.75" customHeight="1">
      <c r="A78" s="157" t="s">
        <v>553</v>
      </c>
      <c r="B78" s="159" t="s">
        <v>556</v>
      </c>
      <c r="C78" s="81">
        <f>'прил 13 '!E314</f>
        <v>6967934.4000000004</v>
      </c>
      <c r="D78" s="155"/>
      <c r="E78" s="83"/>
      <c r="F78" s="155"/>
    </row>
    <row r="79" spans="1:11" s="3" customFormat="1" ht="37.5" customHeight="1">
      <c r="A79" s="156" t="s">
        <v>558</v>
      </c>
      <c r="B79" s="158">
        <v>1920000000</v>
      </c>
      <c r="C79" s="91">
        <f>C80</f>
        <v>15738375.02</v>
      </c>
      <c r="D79" s="155"/>
      <c r="E79" s="84"/>
      <c r="F79" s="155"/>
    </row>
    <row r="80" spans="1:11" ht="37.5" customHeight="1">
      <c r="A80" s="60" t="s">
        <v>559</v>
      </c>
      <c r="B80" s="159">
        <v>1925900000</v>
      </c>
      <c r="C80" s="81">
        <f>'прил 13 '!E322</f>
        <v>15738375.02</v>
      </c>
    </row>
    <row r="81" spans="1:11" ht="17.399999999999999">
      <c r="A81" s="373" t="s">
        <v>118</v>
      </c>
      <c r="B81" s="373"/>
      <c r="C81" s="92">
        <f>C13+C32+C37+C40+C43+C45+C49+C53+C57+C59+C61+C63+C65+C68+C70+C72+C74+C76+C55</f>
        <v>816119508.74999988</v>
      </c>
      <c r="D81" s="5"/>
      <c r="F81" s="5"/>
      <c r="G81" s="4"/>
      <c r="H81" s="4"/>
      <c r="I81" s="4"/>
      <c r="J81" s="68"/>
      <c r="K81" s="68"/>
    </row>
    <row r="82" spans="1:11">
      <c r="A82" s="51"/>
      <c r="B82" s="51"/>
      <c r="C82" s="51"/>
      <c r="E82" s="6"/>
      <c r="F82" s="6"/>
      <c r="G82" s="2"/>
      <c r="H82" s="2"/>
      <c r="I82" s="4"/>
      <c r="J82" s="2"/>
      <c r="K82" s="4"/>
    </row>
    <row r="83" spans="1:11">
      <c r="A83" s="375"/>
      <c r="B83" s="375"/>
      <c r="C83" s="375"/>
      <c r="E83" s="6"/>
      <c r="F83" s="6"/>
      <c r="G83" s="2"/>
      <c r="H83" s="4"/>
      <c r="I83" s="2"/>
      <c r="J83" s="2"/>
      <c r="K83" s="4"/>
    </row>
    <row r="84" spans="1:11">
      <c r="C84" s="57">
        <f>'прил 13 '!E18+'прил 13 '!E23+'прил 13 '!E38+'прил 13 '!E45+'прил 13 '!E51+'прил 13 '!E66+'прил 13 '!E116+'прил 13 '!E171+'прил 13 '!E181+'прил 13 '!E186+'прил 13 '!E192+'прил 13 '!E198+'прил 13 '!E243+'прил 13 '!E550+'прил 13 '!E570+'прил 13 '!E583</f>
        <v>144215977.67000002</v>
      </c>
    </row>
    <row r="85" spans="1:11">
      <c r="C85" s="57">
        <f>C81+C84</f>
        <v>960335486.41999984</v>
      </c>
    </row>
    <row r="88" spans="1:11">
      <c r="A88" s="53" t="s">
        <v>51</v>
      </c>
    </row>
    <row r="89" spans="1:11">
      <c r="A89" s="53" t="s">
        <v>851</v>
      </c>
      <c r="B89" s="253">
        <f>C81/C85*100</f>
        <v>84.982750329510623</v>
      </c>
    </row>
  </sheetData>
  <mergeCells count="8">
    <mergeCell ref="A2:C2"/>
    <mergeCell ref="B1:C1"/>
    <mergeCell ref="A83:C83"/>
    <mergeCell ref="A9:C9"/>
    <mergeCell ref="A10:C10"/>
    <mergeCell ref="A81:B81"/>
    <mergeCell ref="B3:C3"/>
    <mergeCell ref="B4:C4"/>
  </mergeCells>
  <pageMargins left="0.98425196850393704" right="0.98425196850393704" top="0.74803149606299213" bottom="0.74803149606299213" header="0.31496062992125984" footer="0.31496062992125984"/>
  <pageSetup paperSize="9" scale="62" fitToHeight="0" orientation="portrait" r:id="rId1"/>
  <colBreaks count="1" manualBreakCount="1">
    <brk id="3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89"/>
  <sheetViews>
    <sheetView tabSelected="1" view="pageBreakPreview" topLeftCell="A55" zoomScale="86" zoomScaleNormal="100" zoomScaleSheetLayoutView="86" workbookViewId="0">
      <selection activeCell="C1" sqref="C1:D1"/>
    </sheetView>
  </sheetViews>
  <sheetFormatPr defaultRowHeight="18"/>
  <cols>
    <col min="1" max="1" width="73.44140625" style="294" customWidth="1"/>
    <col min="2" max="2" width="14.88671875" style="283" customWidth="1"/>
    <col min="3" max="3" width="19" style="283" customWidth="1"/>
    <col min="4" max="4" width="18.6640625" style="294" customWidth="1"/>
    <col min="5" max="5" width="10" style="295" customWidth="1"/>
    <col min="6" max="7" width="17.44140625" style="296" customWidth="1"/>
    <col min="8" max="9" width="11.33203125" style="259" bestFit="1" customWidth="1"/>
    <col min="10" max="11" width="13.44140625" style="259" customWidth="1"/>
    <col min="12" max="244" width="9.109375" style="259"/>
    <col min="245" max="245" width="69.88671875" style="259" customWidth="1"/>
    <col min="246" max="246" width="9.6640625" style="259" customWidth="1"/>
    <col min="247" max="250" width="0" style="259" hidden="1" customWidth="1"/>
    <col min="251" max="251" width="13.88671875" style="259" customWidth="1"/>
    <col min="252" max="257" width="0" style="259" hidden="1" customWidth="1"/>
    <col min="258" max="261" width="9.109375" style="259"/>
    <col min="262" max="262" width="13.44140625" style="259" customWidth="1"/>
    <col min="263" max="263" width="9.109375" style="259"/>
    <col min="264" max="264" width="11.33203125" style="259" bestFit="1" customWidth="1"/>
    <col min="265" max="266" width="9.109375" style="259"/>
    <col min="267" max="267" width="13.44140625" style="259" customWidth="1"/>
    <col min="268" max="500" width="9.109375" style="259"/>
    <col min="501" max="501" width="69.88671875" style="259" customWidth="1"/>
    <col min="502" max="502" width="9.6640625" style="259" customWidth="1"/>
    <col min="503" max="506" width="0" style="259" hidden="1" customWidth="1"/>
    <col min="507" max="507" width="13.88671875" style="259" customWidth="1"/>
    <col min="508" max="513" width="0" style="259" hidden="1" customWidth="1"/>
    <col min="514" max="517" width="9.109375" style="259"/>
    <col min="518" max="518" width="13.44140625" style="259" customWidth="1"/>
    <col min="519" max="519" width="9.109375" style="259"/>
    <col min="520" max="520" width="11.33203125" style="259" bestFit="1" customWidth="1"/>
    <col min="521" max="522" width="9.109375" style="259"/>
    <col min="523" max="523" width="13.44140625" style="259" customWidth="1"/>
    <col min="524" max="756" width="9.109375" style="259"/>
    <col min="757" max="757" width="69.88671875" style="259" customWidth="1"/>
    <col min="758" max="758" width="9.6640625" style="259" customWidth="1"/>
    <col min="759" max="762" width="0" style="259" hidden="1" customWidth="1"/>
    <col min="763" max="763" width="13.88671875" style="259" customWidth="1"/>
    <col min="764" max="769" width="0" style="259" hidden="1" customWidth="1"/>
    <col min="770" max="773" width="9.109375" style="259"/>
    <col min="774" max="774" width="13.44140625" style="259" customWidth="1"/>
    <col min="775" max="775" width="9.109375" style="259"/>
    <col min="776" max="776" width="11.33203125" style="259" bestFit="1" customWidth="1"/>
    <col min="777" max="778" width="9.109375" style="259"/>
    <col min="779" max="779" width="13.44140625" style="259" customWidth="1"/>
    <col min="780" max="1012" width="9.109375" style="259"/>
    <col min="1013" max="1013" width="69.88671875" style="259" customWidth="1"/>
    <col min="1014" max="1014" width="9.6640625" style="259" customWidth="1"/>
    <col min="1015" max="1018" width="0" style="259" hidden="1" customWidth="1"/>
    <col min="1019" max="1019" width="13.88671875" style="259" customWidth="1"/>
    <col min="1020" max="1025" width="0" style="259" hidden="1" customWidth="1"/>
    <col min="1026" max="1029" width="9.109375" style="259"/>
    <col min="1030" max="1030" width="13.44140625" style="259" customWidth="1"/>
    <col min="1031" max="1031" width="9.109375" style="259"/>
    <col min="1032" max="1032" width="11.33203125" style="259" bestFit="1" customWidth="1"/>
    <col min="1033" max="1034" width="9.109375" style="259"/>
    <col min="1035" max="1035" width="13.44140625" style="259" customWidth="1"/>
    <col min="1036" max="1268" width="9.109375" style="259"/>
    <col min="1269" max="1269" width="69.88671875" style="259" customWidth="1"/>
    <col min="1270" max="1270" width="9.6640625" style="259" customWidth="1"/>
    <col min="1271" max="1274" width="0" style="259" hidden="1" customWidth="1"/>
    <col min="1275" max="1275" width="13.88671875" style="259" customWidth="1"/>
    <col min="1276" max="1281" width="0" style="259" hidden="1" customWidth="1"/>
    <col min="1282" max="1285" width="9.109375" style="259"/>
    <col min="1286" max="1286" width="13.44140625" style="259" customWidth="1"/>
    <col min="1287" max="1287" width="9.109375" style="259"/>
    <col min="1288" max="1288" width="11.33203125" style="259" bestFit="1" customWidth="1"/>
    <col min="1289" max="1290" width="9.109375" style="259"/>
    <col min="1291" max="1291" width="13.44140625" style="259" customWidth="1"/>
    <col min="1292" max="1524" width="9.109375" style="259"/>
    <col min="1525" max="1525" width="69.88671875" style="259" customWidth="1"/>
    <col min="1526" max="1526" width="9.6640625" style="259" customWidth="1"/>
    <col min="1527" max="1530" width="0" style="259" hidden="1" customWidth="1"/>
    <col min="1531" max="1531" width="13.88671875" style="259" customWidth="1"/>
    <col min="1532" max="1537" width="0" style="259" hidden="1" customWidth="1"/>
    <col min="1538" max="1541" width="9.109375" style="259"/>
    <col min="1542" max="1542" width="13.44140625" style="259" customWidth="1"/>
    <col min="1543" max="1543" width="9.109375" style="259"/>
    <col min="1544" max="1544" width="11.33203125" style="259" bestFit="1" customWidth="1"/>
    <col min="1545" max="1546" width="9.109375" style="259"/>
    <col min="1547" max="1547" width="13.44140625" style="259" customWidth="1"/>
    <col min="1548" max="1780" width="9.109375" style="259"/>
    <col min="1781" max="1781" width="69.88671875" style="259" customWidth="1"/>
    <col min="1782" max="1782" width="9.6640625" style="259" customWidth="1"/>
    <col min="1783" max="1786" width="0" style="259" hidden="1" customWidth="1"/>
    <col min="1787" max="1787" width="13.88671875" style="259" customWidth="1"/>
    <col min="1788" max="1793" width="0" style="259" hidden="1" customWidth="1"/>
    <col min="1794" max="1797" width="9.109375" style="259"/>
    <col min="1798" max="1798" width="13.44140625" style="259" customWidth="1"/>
    <col min="1799" max="1799" width="9.109375" style="259"/>
    <col min="1800" max="1800" width="11.33203125" style="259" bestFit="1" customWidth="1"/>
    <col min="1801" max="1802" width="9.109375" style="259"/>
    <col min="1803" max="1803" width="13.44140625" style="259" customWidth="1"/>
    <col min="1804" max="2036" width="9.109375" style="259"/>
    <col min="2037" max="2037" width="69.88671875" style="259" customWidth="1"/>
    <col min="2038" max="2038" width="9.6640625" style="259" customWidth="1"/>
    <col min="2039" max="2042" width="0" style="259" hidden="1" customWidth="1"/>
    <col min="2043" max="2043" width="13.88671875" style="259" customWidth="1"/>
    <col min="2044" max="2049" width="0" style="259" hidden="1" customWidth="1"/>
    <col min="2050" max="2053" width="9.109375" style="259"/>
    <col min="2054" max="2054" width="13.44140625" style="259" customWidth="1"/>
    <col min="2055" max="2055" width="9.109375" style="259"/>
    <col min="2056" max="2056" width="11.33203125" style="259" bestFit="1" customWidth="1"/>
    <col min="2057" max="2058" width="9.109375" style="259"/>
    <col min="2059" max="2059" width="13.44140625" style="259" customWidth="1"/>
    <col min="2060" max="2292" width="9.109375" style="259"/>
    <col min="2293" max="2293" width="69.88671875" style="259" customWidth="1"/>
    <col min="2294" max="2294" width="9.6640625" style="259" customWidth="1"/>
    <col min="2295" max="2298" width="0" style="259" hidden="1" customWidth="1"/>
    <col min="2299" max="2299" width="13.88671875" style="259" customWidth="1"/>
    <col min="2300" max="2305" width="0" style="259" hidden="1" customWidth="1"/>
    <col min="2306" max="2309" width="9.109375" style="259"/>
    <col min="2310" max="2310" width="13.44140625" style="259" customWidth="1"/>
    <col min="2311" max="2311" width="9.109375" style="259"/>
    <col min="2312" max="2312" width="11.33203125" style="259" bestFit="1" customWidth="1"/>
    <col min="2313" max="2314" width="9.109375" style="259"/>
    <col min="2315" max="2315" width="13.44140625" style="259" customWidth="1"/>
    <col min="2316" max="2548" width="9.109375" style="259"/>
    <col min="2549" max="2549" width="69.88671875" style="259" customWidth="1"/>
    <col min="2550" max="2550" width="9.6640625" style="259" customWidth="1"/>
    <col min="2551" max="2554" width="0" style="259" hidden="1" customWidth="1"/>
    <col min="2555" max="2555" width="13.88671875" style="259" customWidth="1"/>
    <col min="2556" max="2561" width="0" style="259" hidden="1" customWidth="1"/>
    <col min="2562" max="2565" width="9.109375" style="259"/>
    <col min="2566" max="2566" width="13.44140625" style="259" customWidth="1"/>
    <col min="2567" max="2567" width="9.109375" style="259"/>
    <col min="2568" max="2568" width="11.33203125" style="259" bestFit="1" customWidth="1"/>
    <col min="2569" max="2570" width="9.109375" style="259"/>
    <col min="2571" max="2571" width="13.44140625" style="259" customWidth="1"/>
    <col min="2572" max="2804" width="9.109375" style="259"/>
    <col min="2805" max="2805" width="69.88671875" style="259" customWidth="1"/>
    <col min="2806" max="2806" width="9.6640625" style="259" customWidth="1"/>
    <col min="2807" max="2810" width="0" style="259" hidden="1" customWidth="1"/>
    <col min="2811" max="2811" width="13.88671875" style="259" customWidth="1"/>
    <col min="2812" max="2817" width="0" style="259" hidden="1" customWidth="1"/>
    <col min="2818" max="2821" width="9.109375" style="259"/>
    <col min="2822" max="2822" width="13.44140625" style="259" customWidth="1"/>
    <col min="2823" max="2823" width="9.109375" style="259"/>
    <col min="2824" max="2824" width="11.33203125" style="259" bestFit="1" customWidth="1"/>
    <col min="2825" max="2826" width="9.109375" style="259"/>
    <col min="2827" max="2827" width="13.44140625" style="259" customWidth="1"/>
    <col min="2828" max="3060" width="9.109375" style="259"/>
    <col min="3061" max="3061" width="69.88671875" style="259" customWidth="1"/>
    <col min="3062" max="3062" width="9.6640625" style="259" customWidth="1"/>
    <col min="3063" max="3066" width="0" style="259" hidden="1" customWidth="1"/>
    <col min="3067" max="3067" width="13.88671875" style="259" customWidth="1"/>
    <col min="3068" max="3073" width="0" style="259" hidden="1" customWidth="1"/>
    <col min="3074" max="3077" width="9.109375" style="259"/>
    <col min="3078" max="3078" width="13.44140625" style="259" customWidth="1"/>
    <col min="3079" max="3079" width="9.109375" style="259"/>
    <col min="3080" max="3080" width="11.33203125" style="259" bestFit="1" customWidth="1"/>
    <col min="3081" max="3082" width="9.109375" style="259"/>
    <col min="3083" max="3083" width="13.44140625" style="259" customWidth="1"/>
    <col min="3084" max="3316" width="9.109375" style="259"/>
    <col min="3317" max="3317" width="69.88671875" style="259" customWidth="1"/>
    <col min="3318" max="3318" width="9.6640625" style="259" customWidth="1"/>
    <col min="3319" max="3322" width="0" style="259" hidden="1" customWidth="1"/>
    <col min="3323" max="3323" width="13.88671875" style="259" customWidth="1"/>
    <col min="3324" max="3329" width="0" style="259" hidden="1" customWidth="1"/>
    <col min="3330" max="3333" width="9.109375" style="259"/>
    <col min="3334" max="3334" width="13.44140625" style="259" customWidth="1"/>
    <col min="3335" max="3335" width="9.109375" style="259"/>
    <col min="3336" max="3336" width="11.33203125" style="259" bestFit="1" customWidth="1"/>
    <col min="3337" max="3338" width="9.109375" style="259"/>
    <col min="3339" max="3339" width="13.44140625" style="259" customWidth="1"/>
    <col min="3340" max="3572" width="9.109375" style="259"/>
    <col min="3573" max="3573" width="69.88671875" style="259" customWidth="1"/>
    <col min="3574" max="3574" width="9.6640625" style="259" customWidth="1"/>
    <col min="3575" max="3578" width="0" style="259" hidden="1" customWidth="1"/>
    <col min="3579" max="3579" width="13.88671875" style="259" customWidth="1"/>
    <col min="3580" max="3585" width="0" style="259" hidden="1" customWidth="1"/>
    <col min="3586" max="3589" width="9.109375" style="259"/>
    <col min="3590" max="3590" width="13.44140625" style="259" customWidth="1"/>
    <col min="3591" max="3591" width="9.109375" style="259"/>
    <col min="3592" max="3592" width="11.33203125" style="259" bestFit="1" customWidth="1"/>
    <col min="3593" max="3594" width="9.109375" style="259"/>
    <col min="3595" max="3595" width="13.44140625" style="259" customWidth="1"/>
    <col min="3596" max="3828" width="9.109375" style="259"/>
    <col min="3829" max="3829" width="69.88671875" style="259" customWidth="1"/>
    <col min="3830" max="3830" width="9.6640625" style="259" customWidth="1"/>
    <col min="3831" max="3834" width="0" style="259" hidden="1" customWidth="1"/>
    <col min="3835" max="3835" width="13.88671875" style="259" customWidth="1"/>
    <col min="3836" max="3841" width="0" style="259" hidden="1" customWidth="1"/>
    <col min="3842" max="3845" width="9.109375" style="259"/>
    <col min="3846" max="3846" width="13.44140625" style="259" customWidth="1"/>
    <col min="3847" max="3847" width="9.109375" style="259"/>
    <col min="3848" max="3848" width="11.33203125" style="259" bestFit="1" customWidth="1"/>
    <col min="3849" max="3850" width="9.109375" style="259"/>
    <col min="3851" max="3851" width="13.44140625" style="259" customWidth="1"/>
    <col min="3852" max="4084" width="9.109375" style="259"/>
    <col min="4085" max="4085" width="69.88671875" style="259" customWidth="1"/>
    <col min="4086" max="4086" width="9.6640625" style="259" customWidth="1"/>
    <col min="4087" max="4090" width="0" style="259" hidden="1" customWidth="1"/>
    <col min="4091" max="4091" width="13.88671875" style="259" customWidth="1"/>
    <col min="4092" max="4097" width="0" style="259" hidden="1" customWidth="1"/>
    <col min="4098" max="4101" width="9.109375" style="259"/>
    <col min="4102" max="4102" width="13.44140625" style="259" customWidth="1"/>
    <col min="4103" max="4103" width="9.109375" style="259"/>
    <col min="4104" max="4104" width="11.33203125" style="259" bestFit="1" customWidth="1"/>
    <col min="4105" max="4106" width="9.109375" style="259"/>
    <col min="4107" max="4107" width="13.44140625" style="259" customWidth="1"/>
    <col min="4108" max="4340" width="9.109375" style="259"/>
    <col min="4341" max="4341" width="69.88671875" style="259" customWidth="1"/>
    <col min="4342" max="4342" width="9.6640625" style="259" customWidth="1"/>
    <col min="4343" max="4346" width="0" style="259" hidden="1" customWidth="1"/>
    <col min="4347" max="4347" width="13.88671875" style="259" customWidth="1"/>
    <col min="4348" max="4353" width="0" style="259" hidden="1" customWidth="1"/>
    <col min="4354" max="4357" width="9.109375" style="259"/>
    <col min="4358" max="4358" width="13.44140625" style="259" customWidth="1"/>
    <col min="4359" max="4359" width="9.109375" style="259"/>
    <col min="4360" max="4360" width="11.33203125" style="259" bestFit="1" customWidth="1"/>
    <col min="4361" max="4362" width="9.109375" style="259"/>
    <col min="4363" max="4363" width="13.44140625" style="259" customWidth="1"/>
    <col min="4364" max="4596" width="9.109375" style="259"/>
    <col min="4597" max="4597" width="69.88671875" style="259" customWidth="1"/>
    <col min="4598" max="4598" width="9.6640625" style="259" customWidth="1"/>
    <col min="4599" max="4602" width="0" style="259" hidden="1" customWidth="1"/>
    <col min="4603" max="4603" width="13.88671875" style="259" customWidth="1"/>
    <col min="4604" max="4609" width="0" style="259" hidden="1" customWidth="1"/>
    <col min="4610" max="4613" width="9.109375" style="259"/>
    <col min="4614" max="4614" width="13.44140625" style="259" customWidth="1"/>
    <col min="4615" max="4615" width="9.109375" style="259"/>
    <col min="4616" max="4616" width="11.33203125" style="259" bestFit="1" customWidth="1"/>
    <col min="4617" max="4618" width="9.109375" style="259"/>
    <col min="4619" max="4619" width="13.44140625" style="259" customWidth="1"/>
    <col min="4620" max="4852" width="9.109375" style="259"/>
    <col min="4853" max="4853" width="69.88671875" style="259" customWidth="1"/>
    <col min="4854" max="4854" width="9.6640625" style="259" customWidth="1"/>
    <col min="4855" max="4858" width="0" style="259" hidden="1" customWidth="1"/>
    <col min="4859" max="4859" width="13.88671875" style="259" customWidth="1"/>
    <col min="4860" max="4865" width="0" style="259" hidden="1" customWidth="1"/>
    <col min="4866" max="4869" width="9.109375" style="259"/>
    <col min="4870" max="4870" width="13.44140625" style="259" customWidth="1"/>
    <col min="4871" max="4871" width="9.109375" style="259"/>
    <col min="4872" max="4872" width="11.33203125" style="259" bestFit="1" customWidth="1"/>
    <col min="4873" max="4874" width="9.109375" style="259"/>
    <col min="4875" max="4875" width="13.44140625" style="259" customWidth="1"/>
    <col min="4876" max="5108" width="9.109375" style="259"/>
    <col min="5109" max="5109" width="69.88671875" style="259" customWidth="1"/>
    <col min="5110" max="5110" width="9.6640625" style="259" customWidth="1"/>
    <col min="5111" max="5114" width="0" style="259" hidden="1" customWidth="1"/>
    <col min="5115" max="5115" width="13.88671875" style="259" customWidth="1"/>
    <col min="5116" max="5121" width="0" style="259" hidden="1" customWidth="1"/>
    <col min="5122" max="5125" width="9.109375" style="259"/>
    <col min="5126" max="5126" width="13.44140625" style="259" customWidth="1"/>
    <col min="5127" max="5127" width="9.109375" style="259"/>
    <col min="5128" max="5128" width="11.33203125" style="259" bestFit="1" customWidth="1"/>
    <col min="5129" max="5130" width="9.109375" style="259"/>
    <col min="5131" max="5131" width="13.44140625" style="259" customWidth="1"/>
    <col min="5132" max="5364" width="9.109375" style="259"/>
    <col min="5365" max="5365" width="69.88671875" style="259" customWidth="1"/>
    <col min="5366" max="5366" width="9.6640625" style="259" customWidth="1"/>
    <col min="5367" max="5370" width="0" style="259" hidden="1" customWidth="1"/>
    <col min="5371" max="5371" width="13.88671875" style="259" customWidth="1"/>
    <col min="5372" max="5377" width="0" style="259" hidden="1" customWidth="1"/>
    <col min="5378" max="5381" width="9.109375" style="259"/>
    <col min="5382" max="5382" width="13.44140625" style="259" customWidth="1"/>
    <col min="5383" max="5383" width="9.109375" style="259"/>
    <col min="5384" max="5384" width="11.33203125" style="259" bestFit="1" customWidth="1"/>
    <col min="5385" max="5386" width="9.109375" style="259"/>
    <col min="5387" max="5387" width="13.44140625" style="259" customWidth="1"/>
    <col min="5388" max="5620" width="9.109375" style="259"/>
    <col min="5621" max="5621" width="69.88671875" style="259" customWidth="1"/>
    <col min="5622" max="5622" width="9.6640625" style="259" customWidth="1"/>
    <col min="5623" max="5626" width="0" style="259" hidden="1" customWidth="1"/>
    <col min="5627" max="5627" width="13.88671875" style="259" customWidth="1"/>
    <col min="5628" max="5633" width="0" style="259" hidden="1" customWidth="1"/>
    <col min="5634" max="5637" width="9.109375" style="259"/>
    <col min="5638" max="5638" width="13.44140625" style="259" customWidth="1"/>
    <col min="5639" max="5639" width="9.109375" style="259"/>
    <col min="5640" max="5640" width="11.33203125" style="259" bestFit="1" customWidth="1"/>
    <col min="5641" max="5642" width="9.109375" style="259"/>
    <col min="5643" max="5643" width="13.44140625" style="259" customWidth="1"/>
    <col min="5644" max="5876" width="9.109375" style="259"/>
    <col min="5877" max="5877" width="69.88671875" style="259" customWidth="1"/>
    <col min="5878" max="5878" width="9.6640625" style="259" customWidth="1"/>
    <col min="5879" max="5882" width="0" style="259" hidden="1" customWidth="1"/>
    <col min="5883" max="5883" width="13.88671875" style="259" customWidth="1"/>
    <col min="5884" max="5889" width="0" style="259" hidden="1" customWidth="1"/>
    <col min="5890" max="5893" width="9.109375" style="259"/>
    <col min="5894" max="5894" width="13.44140625" style="259" customWidth="1"/>
    <col min="5895" max="5895" width="9.109375" style="259"/>
    <col min="5896" max="5896" width="11.33203125" style="259" bestFit="1" customWidth="1"/>
    <col min="5897" max="5898" width="9.109375" style="259"/>
    <col min="5899" max="5899" width="13.44140625" style="259" customWidth="1"/>
    <col min="5900" max="6132" width="9.109375" style="259"/>
    <col min="6133" max="6133" width="69.88671875" style="259" customWidth="1"/>
    <col min="6134" max="6134" width="9.6640625" style="259" customWidth="1"/>
    <col min="6135" max="6138" width="0" style="259" hidden="1" customWidth="1"/>
    <col min="6139" max="6139" width="13.88671875" style="259" customWidth="1"/>
    <col min="6140" max="6145" width="0" style="259" hidden="1" customWidth="1"/>
    <col min="6146" max="6149" width="9.109375" style="259"/>
    <col min="6150" max="6150" width="13.44140625" style="259" customWidth="1"/>
    <col min="6151" max="6151" width="9.109375" style="259"/>
    <col min="6152" max="6152" width="11.33203125" style="259" bestFit="1" customWidth="1"/>
    <col min="6153" max="6154" width="9.109375" style="259"/>
    <col min="6155" max="6155" width="13.44140625" style="259" customWidth="1"/>
    <col min="6156" max="6388" width="9.109375" style="259"/>
    <col min="6389" max="6389" width="69.88671875" style="259" customWidth="1"/>
    <col min="6390" max="6390" width="9.6640625" style="259" customWidth="1"/>
    <col min="6391" max="6394" width="0" style="259" hidden="1" customWidth="1"/>
    <col min="6395" max="6395" width="13.88671875" style="259" customWidth="1"/>
    <col min="6396" max="6401" width="0" style="259" hidden="1" customWidth="1"/>
    <col min="6402" max="6405" width="9.109375" style="259"/>
    <col min="6406" max="6406" width="13.44140625" style="259" customWidth="1"/>
    <col min="6407" max="6407" width="9.109375" style="259"/>
    <col min="6408" max="6408" width="11.33203125" style="259" bestFit="1" customWidth="1"/>
    <col min="6409" max="6410" width="9.109375" style="259"/>
    <col min="6411" max="6411" width="13.44140625" style="259" customWidth="1"/>
    <col min="6412" max="6644" width="9.109375" style="259"/>
    <col min="6645" max="6645" width="69.88671875" style="259" customWidth="1"/>
    <col min="6646" max="6646" width="9.6640625" style="259" customWidth="1"/>
    <col min="6647" max="6650" width="0" style="259" hidden="1" customWidth="1"/>
    <col min="6651" max="6651" width="13.88671875" style="259" customWidth="1"/>
    <col min="6652" max="6657" width="0" style="259" hidden="1" customWidth="1"/>
    <col min="6658" max="6661" width="9.109375" style="259"/>
    <col min="6662" max="6662" width="13.44140625" style="259" customWidth="1"/>
    <col min="6663" max="6663" width="9.109375" style="259"/>
    <col min="6664" max="6664" width="11.33203125" style="259" bestFit="1" customWidth="1"/>
    <col min="6665" max="6666" width="9.109375" style="259"/>
    <col min="6667" max="6667" width="13.44140625" style="259" customWidth="1"/>
    <col min="6668" max="6900" width="9.109375" style="259"/>
    <col min="6901" max="6901" width="69.88671875" style="259" customWidth="1"/>
    <col min="6902" max="6902" width="9.6640625" style="259" customWidth="1"/>
    <col min="6903" max="6906" width="0" style="259" hidden="1" customWidth="1"/>
    <col min="6907" max="6907" width="13.88671875" style="259" customWidth="1"/>
    <col min="6908" max="6913" width="0" style="259" hidden="1" customWidth="1"/>
    <col min="6914" max="6917" width="9.109375" style="259"/>
    <col min="6918" max="6918" width="13.44140625" style="259" customWidth="1"/>
    <col min="6919" max="6919" width="9.109375" style="259"/>
    <col min="6920" max="6920" width="11.33203125" style="259" bestFit="1" customWidth="1"/>
    <col min="6921" max="6922" width="9.109375" style="259"/>
    <col min="6923" max="6923" width="13.44140625" style="259" customWidth="1"/>
    <col min="6924" max="7156" width="9.109375" style="259"/>
    <col min="7157" max="7157" width="69.88671875" style="259" customWidth="1"/>
    <col min="7158" max="7158" width="9.6640625" style="259" customWidth="1"/>
    <col min="7159" max="7162" width="0" style="259" hidden="1" customWidth="1"/>
    <col min="7163" max="7163" width="13.88671875" style="259" customWidth="1"/>
    <col min="7164" max="7169" width="0" style="259" hidden="1" customWidth="1"/>
    <col min="7170" max="7173" width="9.109375" style="259"/>
    <col min="7174" max="7174" width="13.44140625" style="259" customWidth="1"/>
    <col min="7175" max="7175" width="9.109375" style="259"/>
    <col min="7176" max="7176" width="11.33203125" style="259" bestFit="1" customWidth="1"/>
    <col min="7177" max="7178" width="9.109375" style="259"/>
    <col min="7179" max="7179" width="13.44140625" style="259" customWidth="1"/>
    <col min="7180" max="7412" width="9.109375" style="259"/>
    <col min="7413" max="7413" width="69.88671875" style="259" customWidth="1"/>
    <col min="7414" max="7414" width="9.6640625" style="259" customWidth="1"/>
    <col min="7415" max="7418" width="0" style="259" hidden="1" customWidth="1"/>
    <col min="7419" max="7419" width="13.88671875" style="259" customWidth="1"/>
    <col min="7420" max="7425" width="0" style="259" hidden="1" customWidth="1"/>
    <col min="7426" max="7429" width="9.109375" style="259"/>
    <col min="7430" max="7430" width="13.44140625" style="259" customWidth="1"/>
    <col min="7431" max="7431" width="9.109375" style="259"/>
    <col min="7432" max="7432" width="11.33203125" style="259" bestFit="1" customWidth="1"/>
    <col min="7433" max="7434" width="9.109375" style="259"/>
    <col min="7435" max="7435" width="13.44140625" style="259" customWidth="1"/>
    <col min="7436" max="7668" width="9.109375" style="259"/>
    <col min="7669" max="7669" width="69.88671875" style="259" customWidth="1"/>
    <col min="7670" max="7670" width="9.6640625" style="259" customWidth="1"/>
    <col min="7671" max="7674" width="0" style="259" hidden="1" customWidth="1"/>
    <col min="7675" max="7675" width="13.88671875" style="259" customWidth="1"/>
    <col min="7676" max="7681" width="0" style="259" hidden="1" customWidth="1"/>
    <col min="7682" max="7685" width="9.109375" style="259"/>
    <col min="7686" max="7686" width="13.44140625" style="259" customWidth="1"/>
    <col min="7687" max="7687" width="9.109375" style="259"/>
    <col min="7688" max="7688" width="11.33203125" style="259" bestFit="1" customWidth="1"/>
    <col min="7689" max="7690" width="9.109375" style="259"/>
    <col min="7691" max="7691" width="13.44140625" style="259" customWidth="1"/>
    <col min="7692" max="7924" width="9.109375" style="259"/>
    <col min="7925" max="7925" width="69.88671875" style="259" customWidth="1"/>
    <col min="7926" max="7926" width="9.6640625" style="259" customWidth="1"/>
    <col min="7927" max="7930" width="0" style="259" hidden="1" customWidth="1"/>
    <col min="7931" max="7931" width="13.88671875" style="259" customWidth="1"/>
    <col min="7932" max="7937" width="0" style="259" hidden="1" customWidth="1"/>
    <col min="7938" max="7941" width="9.109375" style="259"/>
    <col min="7942" max="7942" width="13.44140625" style="259" customWidth="1"/>
    <col min="7943" max="7943" width="9.109375" style="259"/>
    <col min="7944" max="7944" width="11.33203125" style="259" bestFit="1" customWidth="1"/>
    <col min="7945" max="7946" width="9.109375" style="259"/>
    <col min="7947" max="7947" width="13.44140625" style="259" customWidth="1"/>
    <col min="7948" max="8180" width="9.109375" style="259"/>
    <col min="8181" max="8181" width="69.88671875" style="259" customWidth="1"/>
    <col min="8182" max="8182" width="9.6640625" style="259" customWidth="1"/>
    <col min="8183" max="8186" width="0" style="259" hidden="1" customWidth="1"/>
    <col min="8187" max="8187" width="13.88671875" style="259" customWidth="1"/>
    <col min="8188" max="8193" width="0" style="259" hidden="1" customWidth="1"/>
    <col min="8194" max="8197" width="9.109375" style="259"/>
    <col min="8198" max="8198" width="13.44140625" style="259" customWidth="1"/>
    <col min="8199" max="8199" width="9.109375" style="259"/>
    <col min="8200" max="8200" width="11.33203125" style="259" bestFit="1" customWidth="1"/>
    <col min="8201" max="8202" width="9.109375" style="259"/>
    <col min="8203" max="8203" width="13.44140625" style="259" customWidth="1"/>
    <col min="8204" max="8436" width="9.109375" style="259"/>
    <col min="8437" max="8437" width="69.88671875" style="259" customWidth="1"/>
    <col min="8438" max="8438" width="9.6640625" style="259" customWidth="1"/>
    <col min="8439" max="8442" width="0" style="259" hidden="1" customWidth="1"/>
    <col min="8443" max="8443" width="13.88671875" style="259" customWidth="1"/>
    <col min="8444" max="8449" width="0" style="259" hidden="1" customWidth="1"/>
    <col min="8450" max="8453" width="9.109375" style="259"/>
    <col min="8454" max="8454" width="13.44140625" style="259" customWidth="1"/>
    <col min="8455" max="8455" width="9.109375" style="259"/>
    <col min="8456" max="8456" width="11.33203125" style="259" bestFit="1" customWidth="1"/>
    <col min="8457" max="8458" width="9.109375" style="259"/>
    <col min="8459" max="8459" width="13.44140625" style="259" customWidth="1"/>
    <col min="8460" max="8692" width="9.109375" style="259"/>
    <col min="8693" max="8693" width="69.88671875" style="259" customWidth="1"/>
    <col min="8694" max="8694" width="9.6640625" style="259" customWidth="1"/>
    <col min="8695" max="8698" width="0" style="259" hidden="1" customWidth="1"/>
    <col min="8699" max="8699" width="13.88671875" style="259" customWidth="1"/>
    <col min="8700" max="8705" width="0" style="259" hidden="1" customWidth="1"/>
    <col min="8706" max="8709" width="9.109375" style="259"/>
    <col min="8710" max="8710" width="13.44140625" style="259" customWidth="1"/>
    <col min="8711" max="8711" width="9.109375" style="259"/>
    <col min="8712" max="8712" width="11.33203125" style="259" bestFit="1" customWidth="1"/>
    <col min="8713" max="8714" width="9.109375" style="259"/>
    <col min="8715" max="8715" width="13.44140625" style="259" customWidth="1"/>
    <col min="8716" max="8948" width="9.109375" style="259"/>
    <col min="8949" max="8949" width="69.88671875" style="259" customWidth="1"/>
    <col min="8950" max="8950" width="9.6640625" style="259" customWidth="1"/>
    <col min="8951" max="8954" width="0" style="259" hidden="1" customWidth="1"/>
    <col min="8955" max="8955" width="13.88671875" style="259" customWidth="1"/>
    <col min="8956" max="8961" width="0" style="259" hidden="1" customWidth="1"/>
    <col min="8962" max="8965" width="9.109375" style="259"/>
    <col min="8966" max="8966" width="13.44140625" style="259" customWidth="1"/>
    <col min="8967" max="8967" width="9.109375" style="259"/>
    <col min="8968" max="8968" width="11.33203125" style="259" bestFit="1" customWidth="1"/>
    <col min="8969" max="8970" width="9.109375" style="259"/>
    <col min="8971" max="8971" width="13.44140625" style="259" customWidth="1"/>
    <col min="8972" max="9204" width="9.109375" style="259"/>
    <col min="9205" max="9205" width="69.88671875" style="259" customWidth="1"/>
    <col min="9206" max="9206" width="9.6640625" style="259" customWidth="1"/>
    <col min="9207" max="9210" width="0" style="259" hidden="1" customWidth="1"/>
    <col min="9211" max="9211" width="13.88671875" style="259" customWidth="1"/>
    <col min="9212" max="9217" width="0" style="259" hidden="1" customWidth="1"/>
    <col min="9218" max="9221" width="9.109375" style="259"/>
    <col min="9222" max="9222" width="13.44140625" style="259" customWidth="1"/>
    <col min="9223" max="9223" width="9.109375" style="259"/>
    <col min="9224" max="9224" width="11.33203125" style="259" bestFit="1" customWidth="1"/>
    <col min="9225" max="9226" width="9.109375" style="259"/>
    <col min="9227" max="9227" width="13.44140625" style="259" customWidth="1"/>
    <col min="9228" max="9460" width="9.109375" style="259"/>
    <col min="9461" max="9461" width="69.88671875" style="259" customWidth="1"/>
    <col min="9462" max="9462" width="9.6640625" style="259" customWidth="1"/>
    <col min="9463" max="9466" width="0" style="259" hidden="1" customWidth="1"/>
    <col min="9467" max="9467" width="13.88671875" style="259" customWidth="1"/>
    <col min="9468" max="9473" width="0" style="259" hidden="1" customWidth="1"/>
    <col min="9474" max="9477" width="9.109375" style="259"/>
    <col min="9478" max="9478" width="13.44140625" style="259" customWidth="1"/>
    <col min="9479" max="9479" width="9.109375" style="259"/>
    <col min="9480" max="9480" width="11.33203125" style="259" bestFit="1" customWidth="1"/>
    <col min="9481" max="9482" width="9.109375" style="259"/>
    <col min="9483" max="9483" width="13.44140625" style="259" customWidth="1"/>
    <col min="9484" max="9716" width="9.109375" style="259"/>
    <col min="9717" max="9717" width="69.88671875" style="259" customWidth="1"/>
    <col min="9718" max="9718" width="9.6640625" style="259" customWidth="1"/>
    <col min="9719" max="9722" width="0" style="259" hidden="1" customWidth="1"/>
    <col min="9723" max="9723" width="13.88671875" style="259" customWidth="1"/>
    <col min="9724" max="9729" width="0" style="259" hidden="1" customWidth="1"/>
    <col min="9730" max="9733" width="9.109375" style="259"/>
    <col min="9734" max="9734" width="13.44140625" style="259" customWidth="1"/>
    <col min="9735" max="9735" width="9.109375" style="259"/>
    <col min="9736" max="9736" width="11.33203125" style="259" bestFit="1" customWidth="1"/>
    <col min="9737" max="9738" width="9.109375" style="259"/>
    <col min="9739" max="9739" width="13.44140625" style="259" customWidth="1"/>
    <col min="9740" max="9972" width="9.109375" style="259"/>
    <col min="9973" max="9973" width="69.88671875" style="259" customWidth="1"/>
    <col min="9974" max="9974" width="9.6640625" style="259" customWidth="1"/>
    <col min="9975" max="9978" width="0" style="259" hidden="1" customWidth="1"/>
    <col min="9979" max="9979" width="13.88671875" style="259" customWidth="1"/>
    <col min="9980" max="9985" width="0" style="259" hidden="1" customWidth="1"/>
    <col min="9986" max="9989" width="9.109375" style="259"/>
    <col min="9990" max="9990" width="13.44140625" style="259" customWidth="1"/>
    <col min="9991" max="9991" width="9.109375" style="259"/>
    <col min="9992" max="9992" width="11.33203125" style="259" bestFit="1" customWidth="1"/>
    <col min="9993" max="9994" width="9.109375" style="259"/>
    <col min="9995" max="9995" width="13.44140625" style="259" customWidth="1"/>
    <col min="9996" max="10228" width="9.109375" style="259"/>
    <col min="10229" max="10229" width="69.88671875" style="259" customWidth="1"/>
    <col min="10230" max="10230" width="9.6640625" style="259" customWidth="1"/>
    <col min="10231" max="10234" width="0" style="259" hidden="1" customWidth="1"/>
    <col min="10235" max="10235" width="13.88671875" style="259" customWidth="1"/>
    <col min="10236" max="10241" width="0" style="259" hidden="1" customWidth="1"/>
    <col min="10242" max="10245" width="9.109375" style="259"/>
    <col min="10246" max="10246" width="13.44140625" style="259" customWidth="1"/>
    <col min="10247" max="10247" width="9.109375" style="259"/>
    <col min="10248" max="10248" width="11.33203125" style="259" bestFit="1" customWidth="1"/>
    <col min="10249" max="10250" width="9.109375" style="259"/>
    <col min="10251" max="10251" width="13.44140625" style="259" customWidth="1"/>
    <col min="10252" max="10484" width="9.109375" style="259"/>
    <col min="10485" max="10485" width="69.88671875" style="259" customWidth="1"/>
    <col min="10486" max="10486" width="9.6640625" style="259" customWidth="1"/>
    <col min="10487" max="10490" width="0" style="259" hidden="1" customWidth="1"/>
    <col min="10491" max="10491" width="13.88671875" style="259" customWidth="1"/>
    <col min="10492" max="10497" width="0" style="259" hidden="1" customWidth="1"/>
    <col min="10498" max="10501" width="9.109375" style="259"/>
    <col min="10502" max="10502" width="13.44140625" style="259" customWidth="1"/>
    <col min="10503" max="10503" width="9.109375" style="259"/>
    <col min="10504" max="10504" width="11.33203125" style="259" bestFit="1" customWidth="1"/>
    <col min="10505" max="10506" width="9.109375" style="259"/>
    <col min="10507" max="10507" width="13.44140625" style="259" customWidth="1"/>
    <col min="10508" max="10740" width="9.109375" style="259"/>
    <col min="10741" max="10741" width="69.88671875" style="259" customWidth="1"/>
    <col min="10742" max="10742" width="9.6640625" style="259" customWidth="1"/>
    <col min="10743" max="10746" width="0" style="259" hidden="1" customWidth="1"/>
    <col min="10747" max="10747" width="13.88671875" style="259" customWidth="1"/>
    <col min="10748" max="10753" width="0" style="259" hidden="1" customWidth="1"/>
    <col min="10754" max="10757" width="9.109375" style="259"/>
    <col min="10758" max="10758" width="13.44140625" style="259" customWidth="1"/>
    <col min="10759" max="10759" width="9.109375" style="259"/>
    <col min="10760" max="10760" width="11.33203125" style="259" bestFit="1" customWidth="1"/>
    <col min="10761" max="10762" width="9.109375" style="259"/>
    <col min="10763" max="10763" width="13.44140625" style="259" customWidth="1"/>
    <col min="10764" max="10996" width="9.109375" style="259"/>
    <col min="10997" max="10997" width="69.88671875" style="259" customWidth="1"/>
    <col min="10998" max="10998" width="9.6640625" style="259" customWidth="1"/>
    <col min="10999" max="11002" width="0" style="259" hidden="1" customWidth="1"/>
    <col min="11003" max="11003" width="13.88671875" style="259" customWidth="1"/>
    <col min="11004" max="11009" width="0" style="259" hidden="1" customWidth="1"/>
    <col min="11010" max="11013" width="9.109375" style="259"/>
    <col min="11014" max="11014" width="13.44140625" style="259" customWidth="1"/>
    <col min="11015" max="11015" width="9.109375" style="259"/>
    <col min="11016" max="11016" width="11.33203125" style="259" bestFit="1" customWidth="1"/>
    <col min="11017" max="11018" width="9.109375" style="259"/>
    <col min="11019" max="11019" width="13.44140625" style="259" customWidth="1"/>
    <col min="11020" max="11252" width="9.109375" style="259"/>
    <col min="11253" max="11253" width="69.88671875" style="259" customWidth="1"/>
    <col min="11254" max="11254" width="9.6640625" style="259" customWidth="1"/>
    <col min="11255" max="11258" width="0" style="259" hidden="1" customWidth="1"/>
    <col min="11259" max="11259" width="13.88671875" style="259" customWidth="1"/>
    <col min="11260" max="11265" width="0" style="259" hidden="1" customWidth="1"/>
    <col min="11266" max="11269" width="9.109375" style="259"/>
    <col min="11270" max="11270" width="13.44140625" style="259" customWidth="1"/>
    <col min="11271" max="11271" width="9.109375" style="259"/>
    <col min="11272" max="11272" width="11.33203125" style="259" bestFit="1" customWidth="1"/>
    <col min="11273" max="11274" width="9.109375" style="259"/>
    <col min="11275" max="11275" width="13.44140625" style="259" customWidth="1"/>
    <col min="11276" max="11508" width="9.109375" style="259"/>
    <col min="11509" max="11509" width="69.88671875" style="259" customWidth="1"/>
    <col min="11510" max="11510" width="9.6640625" style="259" customWidth="1"/>
    <col min="11511" max="11514" width="0" style="259" hidden="1" customWidth="1"/>
    <col min="11515" max="11515" width="13.88671875" style="259" customWidth="1"/>
    <col min="11516" max="11521" width="0" style="259" hidden="1" customWidth="1"/>
    <col min="11522" max="11525" width="9.109375" style="259"/>
    <col min="11526" max="11526" width="13.44140625" style="259" customWidth="1"/>
    <col min="11527" max="11527" width="9.109375" style="259"/>
    <col min="11528" max="11528" width="11.33203125" style="259" bestFit="1" customWidth="1"/>
    <col min="11529" max="11530" width="9.109375" style="259"/>
    <col min="11531" max="11531" width="13.44140625" style="259" customWidth="1"/>
    <col min="11532" max="11764" width="9.109375" style="259"/>
    <col min="11765" max="11765" width="69.88671875" style="259" customWidth="1"/>
    <col min="11766" max="11766" width="9.6640625" style="259" customWidth="1"/>
    <col min="11767" max="11770" width="0" style="259" hidden="1" customWidth="1"/>
    <col min="11771" max="11771" width="13.88671875" style="259" customWidth="1"/>
    <col min="11772" max="11777" width="0" style="259" hidden="1" customWidth="1"/>
    <col min="11778" max="11781" width="9.109375" style="259"/>
    <col min="11782" max="11782" width="13.44140625" style="259" customWidth="1"/>
    <col min="11783" max="11783" width="9.109375" style="259"/>
    <col min="11784" max="11784" width="11.33203125" style="259" bestFit="1" customWidth="1"/>
    <col min="11785" max="11786" width="9.109375" style="259"/>
    <col min="11787" max="11787" width="13.44140625" style="259" customWidth="1"/>
    <col min="11788" max="12020" width="9.109375" style="259"/>
    <col min="12021" max="12021" width="69.88671875" style="259" customWidth="1"/>
    <col min="12022" max="12022" width="9.6640625" style="259" customWidth="1"/>
    <col min="12023" max="12026" width="0" style="259" hidden="1" customWidth="1"/>
    <col min="12027" max="12027" width="13.88671875" style="259" customWidth="1"/>
    <col min="12028" max="12033" width="0" style="259" hidden="1" customWidth="1"/>
    <col min="12034" max="12037" width="9.109375" style="259"/>
    <col min="12038" max="12038" width="13.44140625" style="259" customWidth="1"/>
    <col min="12039" max="12039" width="9.109375" style="259"/>
    <col min="12040" max="12040" width="11.33203125" style="259" bestFit="1" customWidth="1"/>
    <col min="12041" max="12042" width="9.109375" style="259"/>
    <col min="12043" max="12043" width="13.44140625" style="259" customWidth="1"/>
    <col min="12044" max="12276" width="9.109375" style="259"/>
    <col min="12277" max="12277" width="69.88671875" style="259" customWidth="1"/>
    <col min="12278" max="12278" width="9.6640625" style="259" customWidth="1"/>
    <col min="12279" max="12282" width="0" style="259" hidden="1" customWidth="1"/>
    <col min="12283" max="12283" width="13.88671875" style="259" customWidth="1"/>
    <col min="12284" max="12289" width="0" style="259" hidden="1" customWidth="1"/>
    <col min="12290" max="12293" width="9.109375" style="259"/>
    <col min="12294" max="12294" width="13.44140625" style="259" customWidth="1"/>
    <col min="12295" max="12295" width="9.109375" style="259"/>
    <col min="12296" max="12296" width="11.33203125" style="259" bestFit="1" customWidth="1"/>
    <col min="12297" max="12298" width="9.109375" style="259"/>
    <col min="12299" max="12299" width="13.44140625" style="259" customWidth="1"/>
    <col min="12300" max="12532" width="9.109375" style="259"/>
    <col min="12533" max="12533" width="69.88671875" style="259" customWidth="1"/>
    <col min="12534" max="12534" width="9.6640625" style="259" customWidth="1"/>
    <col min="12535" max="12538" width="0" style="259" hidden="1" customWidth="1"/>
    <col min="12539" max="12539" width="13.88671875" style="259" customWidth="1"/>
    <col min="12540" max="12545" width="0" style="259" hidden="1" customWidth="1"/>
    <col min="12546" max="12549" width="9.109375" style="259"/>
    <col min="12550" max="12550" width="13.44140625" style="259" customWidth="1"/>
    <col min="12551" max="12551" width="9.109375" style="259"/>
    <col min="12552" max="12552" width="11.33203125" style="259" bestFit="1" customWidth="1"/>
    <col min="12553" max="12554" width="9.109375" style="259"/>
    <col min="12555" max="12555" width="13.44140625" style="259" customWidth="1"/>
    <col min="12556" max="12788" width="9.109375" style="259"/>
    <col min="12789" max="12789" width="69.88671875" style="259" customWidth="1"/>
    <col min="12790" max="12790" width="9.6640625" style="259" customWidth="1"/>
    <col min="12791" max="12794" width="0" style="259" hidden="1" customWidth="1"/>
    <col min="12795" max="12795" width="13.88671875" style="259" customWidth="1"/>
    <col min="12796" max="12801" width="0" style="259" hidden="1" customWidth="1"/>
    <col min="12802" max="12805" width="9.109375" style="259"/>
    <col min="12806" max="12806" width="13.44140625" style="259" customWidth="1"/>
    <col min="12807" max="12807" width="9.109375" style="259"/>
    <col min="12808" max="12808" width="11.33203125" style="259" bestFit="1" customWidth="1"/>
    <col min="12809" max="12810" width="9.109375" style="259"/>
    <col min="12811" max="12811" width="13.44140625" style="259" customWidth="1"/>
    <col min="12812" max="13044" width="9.109375" style="259"/>
    <col min="13045" max="13045" width="69.88671875" style="259" customWidth="1"/>
    <col min="13046" max="13046" width="9.6640625" style="259" customWidth="1"/>
    <col min="13047" max="13050" width="0" style="259" hidden="1" customWidth="1"/>
    <col min="13051" max="13051" width="13.88671875" style="259" customWidth="1"/>
    <col min="13052" max="13057" width="0" style="259" hidden="1" customWidth="1"/>
    <col min="13058" max="13061" width="9.109375" style="259"/>
    <col min="13062" max="13062" width="13.44140625" style="259" customWidth="1"/>
    <col min="13063" max="13063" width="9.109375" style="259"/>
    <col min="13064" max="13064" width="11.33203125" style="259" bestFit="1" customWidth="1"/>
    <col min="13065" max="13066" width="9.109375" style="259"/>
    <col min="13067" max="13067" width="13.44140625" style="259" customWidth="1"/>
    <col min="13068" max="13300" width="9.109375" style="259"/>
    <col min="13301" max="13301" width="69.88671875" style="259" customWidth="1"/>
    <col min="13302" max="13302" width="9.6640625" style="259" customWidth="1"/>
    <col min="13303" max="13306" width="0" style="259" hidden="1" customWidth="1"/>
    <col min="13307" max="13307" width="13.88671875" style="259" customWidth="1"/>
    <col min="13308" max="13313" width="0" style="259" hidden="1" customWidth="1"/>
    <col min="13314" max="13317" width="9.109375" style="259"/>
    <col min="13318" max="13318" width="13.44140625" style="259" customWidth="1"/>
    <col min="13319" max="13319" width="9.109375" style="259"/>
    <col min="13320" max="13320" width="11.33203125" style="259" bestFit="1" customWidth="1"/>
    <col min="13321" max="13322" width="9.109375" style="259"/>
    <col min="13323" max="13323" width="13.44140625" style="259" customWidth="1"/>
    <col min="13324" max="13556" width="9.109375" style="259"/>
    <col min="13557" max="13557" width="69.88671875" style="259" customWidth="1"/>
    <col min="13558" max="13558" width="9.6640625" style="259" customWidth="1"/>
    <col min="13559" max="13562" width="0" style="259" hidden="1" customWidth="1"/>
    <col min="13563" max="13563" width="13.88671875" style="259" customWidth="1"/>
    <col min="13564" max="13569" width="0" style="259" hidden="1" customWidth="1"/>
    <col min="13570" max="13573" width="9.109375" style="259"/>
    <col min="13574" max="13574" width="13.44140625" style="259" customWidth="1"/>
    <col min="13575" max="13575" width="9.109375" style="259"/>
    <col min="13576" max="13576" width="11.33203125" style="259" bestFit="1" customWidth="1"/>
    <col min="13577" max="13578" width="9.109375" style="259"/>
    <col min="13579" max="13579" width="13.44140625" style="259" customWidth="1"/>
    <col min="13580" max="13812" width="9.109375" style="259"/>
    <col min="13813" max="13813" width="69.88671875" style="259" customWidth="1"/>
    <col min="13814" max="13814" width="9.6640625" style="259" customWidth="1"/>
    <col min="13815" max="13818" width="0" style="259" hidden="1" customWidth="1"/>
    <col min="13819" max="13819" width="13.88671875" style="259" customWidth="1"/>
    <col min="13820" max="13825" width="0" style="259" hidden="1" customWidth="1"/>
    <col min="13826" max="13829" width="9.109375" style="259"/>
    <col min="13830" max="13830" width="13.44140625" style="259" customWidth="1"/>
    <col min="13831" max="13831" width="9.109375" style="259"/>
    <col min="13832" max="13832" width="11.33203125" style="259" bestFit="1" customWidth="1"/>
    <col min="13833" max="13834" width="9.109375" style="259"/>
    <col min="13835" max="13835" width="13.44140625" style="259" customWidth="1"/>
    <col min="13836" max="14068" width="9.109375" style="259"/>
    <col min="14069" max="14069" width="69.88671875" style="259" customWidth="1"/>
    <col min="14070" max="14070" width="9.6640625" style="259" customWidth="1"/>
    <col min="14071" max="14074" width="0" style="259" hidden="1" customWidth="1"/>
    <col min="14075" max="14075" width="13.88671875" style="259" customWidth="1"/>
    <col min="14076" max="14081" width="0" style="259" hidden="1" customWidth="1"/>
    <col min="14082" max="14085" width="9.109375" style="259"/>
    <col min="14086" max="14086" width="13.44140625" style="259" customWidth="1"/>
    <col min="14087" max="14087" width="9.109375" style="259"/>
    <col min="14088" max="14088" width="11.33203125" style="259" bestFit="1" customWidth="1"/>
    <col min="14089" max="14090" width="9.109375" style="259"/>
    <col min="14091" max="14091" width="13.44140625" style="259" customWidth="1"/>
    <col min="14092" max="14324" width="9.109375" style="259"/>
    <col min="14325" max="14325" width="69.88671875" style="259" customWidth="1"/>
    <col min="14326" max="14326" width="9.6640625" style="259" customWidth="1"/>
    <col min="14327" max="14330" width="0" style="259" hidden="1" customWidth="1"/>
    <col min="14331" max="14331" width="13.88671875" style="259" customWidth="1"/>
    <col min="14332" max="14337" width="0" style="259" hidden="1" customWidth="1"/>
    <col min="14338" max="14341" width="9.109375" style="259"/>
    <col min="14342" max="14342" width="13.44140625" style="259" customWidth="1"/>
    <col min="14343" max="14343" width="9.109375" style="259"/>
    <col min="14344" max="14344" width="11.33203125" style="259" bestFit="1" customWidth="1"/>
    <col min="14345" max="14346" width="9.109375" style="259"/>
    <col min="14347" max="14347" width="13.44140625" style="259" customWidth="1"/>
    <col min="14348" max="14580" width="9.109375" style="259"/>
    <col min="14581" max="14581" width="69.88671875" style="259" customWidth="1"/>
    <col min="14582" max="14582" width="9.6640625" style="259" customWidth="1"/>
    <col min="14583" max="14586" width="0" style="259" hidden="1" customWidth="1"/>
    <col min="14587" max="14587" width="13.88671875" style="259" customWidth="1"/>
    <col min="14588" max="14593" width="0" style="259" hidden="1" customWidth="1"/>
    <col min="14594" max="14597" width="9.109375" style="259"/>
    <col min="14598" max="14598" width="13.44140625" style="259" customWidth="1"/>
    <col min="14599" max="14599" width="9.109375" style="259"/>
    <col min="14600" max="14600" width="11.33203125" style="259" bestFit="1" customWidth="1"/>
    <col min="14601" max="14602" width="9.109375" style="259"/>
    <col min="14603" max="14603" width="13.44140625" style="259" customWidth="1"/>
    <col min="14604" max="14836" width="9.109375" style="259"/>
    <col min="14837" max="14837" width="69.88671875" style="259" customWidth="1"/>
    <col min="14838" max="14838" width="9.6640625" style="259" customWidth="1"/>
    <col min="14839" max="14842" width="0" style="259" hidden="1" customWidth="1"/>
    <col min="14843" max="14843" width="13.88671875" style="259" customWidth="1"/>
    <col min="14844" max="14849" width="0" style="259" hidden="1" customWidth="1"/>
    <col min="14850" max="14853" width="9.109375" style="259"/>
    <col min="14854" max="14854" width="13.44140625" style="259" customWidth="1"/>
    <col min="14855" max="14855" width="9.109375" style="259"/>
    <col min="14856" max="14856" width="11.33203125" style="259" bestFit="1" customWidth="1"/>
    <col min="14857" max="14858" width="9.109375" style="259"/>
    <col min="14859" max="14859" width="13.44140625" style="259" customWidth="1"/>
    <col min="14860" max="15092" width="9.109375" style="259"/>
    <col min="15093" max="15093" width="69.88671875" style="259" customWidth="1"/>
    <col min="15094" max="15094" width="9.6640625" style="259" customWidth="1"/>
    <col min="15095" max="15098" width="0" style="259" hidden="1" customWidth="1"/>
    <col min="15099" max="15099" width="13.88671875" style="259" customWidth="1"/>
    <col min="15100" max="15105" width="0" style="259" hidden="1" customWidth="1"/>
    <col min="15106" max="15109" width="9.109375" style="259"/>
    <col min="15110" max="15110" width="13.44140625" style="259" customWidth="1"/>
    <col min="15111" max="15111" width="9.109375" style="259"/>
    <col min="15112" max="15112" width="11.33203125" style="259" bestFit="1" customWidth="1"/>
    <col min="15113" max="15114" width="9.109375" style="259"/>
    <col min="15115" max="15115" width="13.44140625" style="259" customWidth="1"/>
    <col min="15116" max="15348" width="9.109375" style="259"/>
    <col min="15349" max="15349" width="69.88671875" style="259" customWidth="1"/>
    <col min="15350" max="15350" width="9.6640625" style="259" customWidth="1"/>
    <col min="15351" max="15354" width="0" style="259" hidden="1" customWidth="1"/>
    <col min="15355" max="15355" width="13.88671875" style="259" customWidth="1"/>
    <col min="15356" max="15361" width="0" style="259" hidden="1" customWidth="1"/>
    <col min="15362" max="15365" width="9.109375" style="259"/>
    <col min="15366" max="15366" width="13.44140625" style="259" customWidth="1"/>
    <col min="15367" max="15367" width="9.109375" style="259"/>
    <col min="15368" max="15368" width="11.33203125" style="259" bestFit="1" customWidth="1"/>
    <col min="15369" max="15370" width="9.109375" style="259"/>
    <col min="15371" max="15371" width="13.44140625" style="259" customWidth="1"/>
    <col min="15372" max="15604" width="9.109375" style="259"/>
    <col min="15605" max="15605" width="69.88671875" style="259" customWidth="1"/>
    <col min="15606" max="15606" width="9.6640625" style="259" customWidth="1"/>
    <col min="15607" max="15610" width="0" style="259" hidden="1" customWidth="1"/>
    <col min="15611" max="15611" width="13.88671875" style="259" customWidth="1"/>
    <col min="15612" max="15617" width="0" style="259" hidden="1" customWidth="1"/>
    <col min="15618" max="15621" width="9.109375" style="259"/>
    <col min="15622" max="15622" width="13.44140625" style="259" customWidth="1"/>
    <col min="15623" max="15623" width="9.109375" style="259"/>
    <col min="15624" max="15624" width="11.33203125" style="259" bestFit="1" customWidth="1"/>
    <col min="15625" max="15626" width="9.109375" style="259"/>
    <col min="15627" max="15627" width="13.44140625" style="259" customWidth="1"/>
    <col min="15628" max="15860" width="9.109375" style="259"/>
    <col min="15861" max="15861" width="69.88671875" style="259" customWidth="1"/>
    <col min="15862" max="15862" width="9.6640625" style="259" customWidth="1"/>
    <col min="15863" max="15866" width="0" style="259" hidden="1" customWidth="1"/>
    <col min="15867" max="15867" width="13.88671875" style="259" customWidth="1"/>
    <col min="15868" max="15873" width="0" style="259" hidden="1" customWidth="1"/>
    <col min="15874" max="15877" width="9.109375" style="259"/>
    <col min="15878" max="15878" width="13.44140625" style="259" customWidth="1"/>
    <col min="15879" max="15879" width="9.109375" style="259"/>
    <col min="15880" max="15880" width="11.33203125" style="259" bestFit="1" customWidth="1"/>
    <col min="15881" max="15882" width="9.109375" style="259"/>
    <col min="15883" max="15883" width="13.44140625" style="259" customWidth="1"/>
    <col min="15884" max="16116" width="9.109375" style="259"/>
    <col min="16117" max="16117" width="69.88671875" style="259" customWidth="1"/>
    <col min="16118" max="16118" width="9.6640625" style="259" customWidth="1"/>
    <col min="16119" max="16122" width="0" style="259" hidden="1" customWidth="1"/>
    <col min="16123" max="16123" width="13.88671875" style="259" customWidth="1"/>
    <col min="16124" max="16129" width="0" style="259" hidden="1" customWidth="1"/>
    <col min="16130" max="16133" width="9.109375" style="259"/>
    <col min="16134" max="16134" width="13.44140625" style="259" customWidth="1"/>
    <col min="16135" max="16135" width="9.109375" style="259"/>
    <col min="16136" max="16136" width="11.33203125" style="259" bestFit="1" customWidth="1"/>
    <col min="16137" max="16138" width="9.109375" style="259"/>
    <col min="16139" max="16139" width="13.44140625" style="259" customWidth="1"/>
    <col min="16140" max="16384" width="9.109375" style="259"/>
  </cols>
  <sheetData>
    <row r="1" spans="1:11">
      <c r="C1" s="350" t="s">
        <v>957</v>
      </c>
      <c r="D1" s="350"/>
    </row>
    <row r="2" spans="1:11">
      <c r="B2" s="350" t="s">
        <v>933</v>
      </c>
      <c r="C2" s="350"/>
      <c r="D2" s="350"/>
    </row>
    <row r="3" spans="1:11">
      <c r="C3" s="350" t="s">
        <v>940</v>
      </c>
      <c r="D3" s="350"/>
    </row>
    <row r="4" spans="1:11">
      <c r="C4" s="350" t="s">
        <v>944</v>
      </c>
      <c r="D4" s="350"/>
    </row>
    <row r="5" spans="1:11">
      <c r="D5" s="282" t="s">
        <v>454</v>
      </c>
    </row>
    <row r="6" spans="1:11">
      <c r="D6" s="282" t="s">
        <v>933</v>
      </c>
    </row>
    <row r="7" spans="1:11">
      <c r="D7" s="282" t="s">
        <v>664</v>
      </c>
    </row>
    <row r="8" spans="1:11">
      <c r="D8" s="282" t="s">
        <v>937</v>
      </c>
    </row>
    <row r="9" spans="1:11">
      <c r="A9" s="362" t="s">
        <v>196</v>
      </c>
      <c r="B9" s="362"/>
      <c r="C9" s="362"/>
      <c r="D9" s="362"/>
    </row>
    <row r="10" spans="1:11">
      <c r="A10" s="378" t="s">
        <v>455</v>
      </c>
      <c r="B10" s="378"/>
      <c r="C10" s="378"/>
      <c r="D10" s="378"/>
    </row>
    <row r="11" spans="1:11">
      <c r="A11" s="378" t="s">
        <v>848</v>
      </c>
      <c r="B11" s="378"/>
      <c r="C11" s="378"/>
      <c r="D11" s="378"/>
    </row>
    <row r="12" spans="1:11" s="302" customFormat="1">
      <c r="A12" s="297"/>
      <c r="B12" s="298"/>
      <c r="C12" s="299"/>
      <c r="D12" s="285" t="s">
        <v>408</v>
      </c>
      <c r="E12" s="300"/>
      <c r="F12" s="301"/>
      <c r="G12" s="301"/>
    </row>
    <row r="13" spans="1:11" ht="36">
      <c r="A13" s="262" t="s">
        <v>242</v>
      </c>
      <c r="B13" s="262" t="s">
        <v>3</v>
      </c>
      <c r="C13" s="262" t="s">
        <v>473</v>
      </c>
      <c r="D13" s="262" t="s">
        <v>761</v>
      </c>
    </row>
    <row r="14" spans="1:11" ht="39.75" customHeight="1">
      <c r="A14" s="191" t="s">
        <v>853</v>
      </c>
      <c r="B14" s="192" t="s">
        <v>138</v>
      </c>
      <c r="C14" s="215">
        <f>C15+C19+C24+C28+C29+C30</f>
        <v>586681228.48000002</v>
      </c>
      <c r="D14" s="215">
        <f>D15+D19+D24+D28+D29+D30</f>
        <v>608475257.40999997</v>
      </c>
      <c r="E14" s="303"/>
      <c r="F14" s="303">
        <f>'прил 14 '!E559</f>
        <v>586681228.48000002</v>
      </c>
      <c r="G14" s="303">
        <f>'прил 14 '!F559</f>
        <v>608475257.40999997</v>
      </c>
      <c r="H14" s="257"/>
      <c r="I14" s="7"/>
      <c r="J14" s="7"/>
      <c r="K14" s="257"/>
    </row>
    <row r="15" spans="1:11" ht="35.4" customHeight="1">
      <c r="A15" s="304" t="s">
        <v>854</v>
      </c>
      <c r="B15" s="305" t="s">
        <v>139</v>
      </c>
      <c r="C15" s="170">
        <f>C16+C17+C18</f>
        <v>139826960</v>
      </c>
      <c r="D15" s="170">
        <f>D16+D17+D18</f>
        <v>144706712.09999999</v>
      </c>
      <c r="E15" s="303"/>
      <c r="F15" s="303">
        <f>C14-F14</f>
        <v>0</v>
      </c>
      <c r="G15" s="303">
        <f>D14-G14</f>
        <v>0</v>
      </c>
      <c r="H15" s="257"/>
      <c r="I15" s="7"/>
      <c r="J15" s="7"/>
      <c r="K15" s="257"/>
    </row>
    <row r="16" spans="1:11" ht="51" customHeight="1">
      <c r="A16" s="251" t="s">
        <v>202</v>
      </c>
      <c r="B16" s="197" t="s">
        <v>219</v>
      </c>
      <c r="C16" s="171">
        <f>'прил 12'!F498</f>
        <v>134598391</v>
      </c>
      <c r="D16" s="171">
        <f>'прил 12'!G498</f>
        <v>140978143.09999999</v>
      </c>
      <c r="E16" s="303"/>
      <c r="F16" s="303"/>
      <c r="G16" s="303"/>
      <c r="H16" s="257"/>
      <c r="I16" s="7"/>
      <c r="J16" s="7"/>
      <c r="K16" s="257"/>
    </row>
    <row r="17" spans="1:11" ht="36">
      <c r="A17" s="251" t="s">
        <v>203</v>
      </c>
      <c r="B17" s="197" t="s">
        <v>221</v>
      </c>
      <c r="C17" s="171">
        <f>'прил 14 '!E318</f>
        <v>2049500</v>
      </c>
      <c r="D17" s="171">
        <f>'прил 14 '!F318</f>
        <v>549500</v>
      </c>
      <c r="E17" s="303"/>
      <c r="F17" s="303"/>
      <c r="G17" s="303"/>
      <c r="H17" s="257"/>
      <c r="I17" s="7"/>
      <c r="J17" s="7"/>
      <c r="K17" s="257"/>
    </row>
    <row r="18" spans="1:11" ht="36" customHeight="1">
      <c r="A18" s="251" t="s">
        <v>204</v>
      </c>
      <c r="B18" s="197" t="s">
        <v>234</v>
      </c>
      <c r="C18" s="171">
        <f>'прил 14 '!E505</f>
        <v>3179069</v>
      </c>
      <c r="D18" s="171">
        <f>'прил 14 '!F505</f>
        <v>3179069</v>
      </c>
      <c r="E18" s="303"/>
      <c r="F18" s="303"/>
      <c r="G18" s="303"/>
      <c r="H18" s="257"/>
      <c r="I18" s="7"/>
      <c r="J18" s="7"/>
      <c r="K18" s="257"/>
    </row>
    <row r="19" spans="1:11" ht="37.5" customHeight="1">
      <c r="A19" s="306" t="s">
        <v>892</v>
      </c>
      <c r="B19" s="305" t="s">
        <v>146</v>
      </c>
      <c r="C19" s="170">
        <f>C20+C21+C22+C23</f>
        <v>395360329.48000002</v>
      </c>
      <c r="D19" s="170">
        <f>D20+D21+D22+D23</f>
        <v>412274603.31</v>
      </c>
      <c r="E19" s="303"/>
      <c r="F19" s="303"/>
      <c r="G19" s="303"/>
      <c r="H19" s="257"/>
      <c r="I19" s="7"/>
      <c r="J19" s="7"/>
      <c r="K19" s="257"/>
    </row>
    <row r="20" spans="1:11" ht="57.75" customHeight="1">
      <c r="A20" s="251" t="s">
        <v>205</v>
      </c>
      <c r="B20" s="197" t="s">
        <v>222</v>
      </c>
      <c r="C20" s="171">
        <f>'прил 14 '!E337</f>
        <v>383315369.17000002</v>
      </c>
      <c r="D20" s="171">
        <f>'прил 14 '!F337</f>
        <v>400929643</v>
      </c>
      <c r="E20" s="303"/>
      <c r="F20" s="303"/>
      <c r="G20" s="303"/>
      <c r="H20" s="257"/>
      <c r="I20" s="7"/>
      <c r="J20" s="7"/>
      <c r="K20" s="257"/>
    </row>
    <row r="21" spans="1:11" ht="36">
      <c r="A21" s="251" t="s">
        <v>206</v>
      </c>
      <c r="B21" s="197" t="s">
        <v>220</v>
      </c>
      <c r="C21" s="171">
        <f>'прил 12'!F547+'прил 12'!F597</f>
        <v>1432800</v>
      </c>
      <c r="D21" s="171">
        <f>'прил 12'!G547+'прил 12'!G597</f>
        <v>732800</v>
      </c>
      <c r="E21" s="303"/>
      <c r="F21" s="303"/>
      <c r="G21" s="303"/>
      <c r="H21" s="257"/>
      <c r="I21" s="7"/>
      <c r="J21" s="7"/>
      <c r="K21" s="257"/>
    </row>
    <row r="22" spans="1:11" ht="36">
      <c r="A22" s="251" t="s">
        <v>247</v>
      </c>
      <c r="B22" s="197" t="s">
        <v>223</v>
      </c>
      <c r="C22" s="171">
        <f>'прил 12'!F563+'прил 12'!F601</f>
        <v>8036150</v>
      </c>
      <c r="D22" s="171">
        <f>'прил 12'!G563+'прил 12'!G601</f>
        <v>8036150</v>
      </c>
      <c r="E22" s="303"/>
      <c r="F22" s="303"/>
      <c r="G22" s="303"/>
      <c r="H22" s="257"/>
      <c r="I22" s="7"/>
      <c r="J22" s="7"/>
      <c r="K22" s="257"/>
    </row>
    <row r="23" spans="1:11">
      <c r="A23" s="208" t="s">
        <v>469</v>
      </c>
      <c r="B23" s="197" t="s">
        <v>313</v>
      </c>
      <c r="C23" s="171">
        <f>'прил 14 '!E367</f>
        <v>2576010.31</v>
      </c>
      <c r="D23" s="171">
        <f>'прил 14 '!F367</f>
        <v>2576010.31</v>
      </c>
      <c r="E23" s="303"/>
      <c r="F23" s="303"/>
      <c r="G23" s="303"/>
      <c r="H23" s="257"/>
      <c r="I23" s="7"/>
      <c r="J23" s="7"/>
      <c r="K23" s="257"/>
    </row>
    <row r="24" spans="1:11" ht="38.25" customHeight="1">
      <c r="A24" s="306" t="s">
        <v>860</v>
      </c>
      <c r="B24" s="305" t="s">
        <v>149</v>
      </c>
      <c r="C24" s="170">
        <f>C25+C26+C27</f>
        <v>28310464</v>
      </c>
      <c r="D24" s="170">
        <f>D25+D26+D27</f>
        <v>28310467</v>
      </c>
      <c r="E24" s="303"/>
      <c r="F24" s="303"/>
      <c r="G24" s="303"/>
      <c r="H24" s="257"/>
      <c r="I24" s="7"/>
      <c r="J24" s="7"/>
      <c r="K24" s="257"/>
    </row>
    <row r="25" spans="1:11" ht="36">
      <c r="A25" s="251" t="s">
        <v>207</v>
      </c>
      <c r="B25" s="197" t="s">
        <v>224</v>
      </c>
      <c r="C25" s="171">
        <f>'прил 14 '!E374</f>
        <v>26996964</v>
      </c>
      <c r="D25" s="171">
        <f>'прил 14 '!F374</f>
        <v>26996967</v>
      </c>
      <c r="E25" s="303"/>
      <c r="F25" s="303"/>
      <c r="G25" s="303"/>
      <c r="H25" s="257"/>
      <c r="I25" s="7"/>
      <c r="J25" s="7"/>
      <c r="K25" s="257"/>
    </row>
    <row r="26" spans="1:11" ht="36">
      <c r="A26" s="251" t="s">
        <v>208</v>
      </c>
      <c r="B26" s="197" t="s">
        <v>225</v>
      </c>
      <c r="C26" s="171">
        <f>'прил 14 '!E378</f>
        <v>110500</v>
      </c>
      <c r="D26" s="171">
        <f>'прил 14 '!F378</f>
        <v>110500</v>
      </c>
      <c r="E26" s="303"/>
      <c r="F26" s="303"/>
      <c r="G26" s="303"/>
      <c r="H26" s="257"/>
      <c r="I26" s="7"/>
      <c r="J26" s="7"/>
      <c r="K26" s="257"/>
    </row>
    <row r="27" spans="1:11" ht="40.65" customHeight="1">
      <c r="A27" s="164" t="s">
        <v>768</v>
      </c>
      <c r="B27" s="197" t="s">
        <v>769</v>
      </c>
      <c r="C27" s="171">
        <f>'прил 14 '!E385</f>
        <v>1203000</v>
      </c>
      <c r="D27" s="171">
        <f>'прил 14 '!F385</f>
        <v>1203000</v>
      </c>
      <c r="E27" s="303"/>
      <c r="F27" s="303"/>
      <c r="G27" s="303"/>
      <c r="H27" s="257"/>
      <c r="I27" s="7"/>
      <c r="J27" s="7"/>
      <c r="K27" s="257"/>
    </row>
    <row r="28" spans="1:11" ht="36">
      <c r="A28" s="251" t="s">
        <v>209</v>
      </c>
      <c r="B28" s="197" t="s">
        <v>226</v>
      </c>
      <c r="C28" s="171">
        <f>'прил 14 '!E422</f>
        <v>21748475</v>
      </c>
      <c r="D28" s="171">
        <f>'прил 14 '!F422</f>
        <v>21748475</v>
      </c>
      <c r="E28" s="303"/>
      <c r="F28" s="303"/>
      <c r="G28" s="303"/>
      <c r="H28" s="257"/>
      <c r="I28" s="7"/>
      <c r="J28" s="7"/>
      <c r="K28" s="257"/>
    </row>
    <row r="29" spans="1:11" ht="39.15" customHeight="1">
      <c r="A29" s="251" t="s">
        <v>238</v>
      </c>
      <c r="B29" s="197" t="s">
        <v>237</v>
      </c>
      <c r="C29" s="171">
        <f>'прил 14 '!E416</f>
        <v>125000</v>
      </c>
      <c r="D29" s="171">
        <f>'прил 14 '!F416</f>
        <v>125000</v>
      </c>
      <c r="E29" s="303"/>
      <c r="F29" s="303"/>
      <c r="G29" s="303"/>
      <c r="H29" s="257"/>
      <c r="I29" s="7"/>
      <c r="J29" s="7"/>
      <c r="K29" s="257"/>
    </row>
    <row r="30" spans="1:11">
      <c r="A30" s="201" t="s">
        <v>752</v>
      </c>
      <c r="B30" s="197" t="s">
        <v>750</v>
      </c>
      <c r="C30" s="171">
        <f>'прил 14 '!E484</f>
        <v>1310000</v>
      </c>
      <c r="D30" s="171">
        <f>'прил 14 '!F484</f>
        <v>1310000</v>
      </c>
      <c r="E30" s="303"/>
      <c r="F30" s="303"/>
      <c r="G30" s="303"/>
      <c r="H30" s="257"/>
      <c r="I30" s="7"/>
      <c r="J30" s="7"/>
      <c r="K30" s="257"/>
    </row>
    <row r="31" spans="1:11" ht="39.75" customHeight="1">
      <c r="A31" s="191" t="s">
        <v>899</v>
      </c>
      <c r="B31" s="192" t="s">
        <v>136</v>
      </c>
      <c r="C31" s="215">
        <f>C32+C33+C34+C35+C36</f>
        <v>60009573.906000003</v>
      </c>
      <c r="D31" s="215">
        <f>D32+D33+D34+D35+D36</f>
        <v>58287917.25</v>
      </c>
      <c r="E31" s="303"/>
      <c r="F31" s="303">
        <f>'прил 14 '!E560</f>
        <v>60009573.906000003</v>
      </c>
      <c r="G31" s="303">
        <f>'прил 14 '!F560</f>
        <v>58287917.25</v>
      </c>
      <c r="H31" s="257"/>
      <c r="I31" s="7"/>
      <c r="J31" s="7"/>
      <c r="K31" s="257"/>
    </row>
    <row r="32" spans="1:11" ht="18.75" customHeight="1">
      <c r="A32" s="251" t="s">
        <v>210</v>
      </c>
      <c r="B32" s="197" t="s">
        <v>227</v>
      </c>
      <c r="C32" s="171">
        <f>'прил 12'!F355</f>
        <v>9978834.7300000004</v>
      </c>
      <c r="D32" s="171">
        <f>'прил 12'!G355</f>
        <v>10589257.890000001</v>
      </c>
      <c r="E32" s="303"/>
      <c r="F32" s="303">
        <f>C31-F31</f>
        <v>0</v>
      </c>
      <c r="G32" s="303">
        <f>D31-G31</f>
        <v>0</v>
      </c>
      <c r="H32" s="257"/>
      <c r="I32" s="7"/>
      <c r="J32" s="7"/>
      <c r="K32" s="257"/>
    </row>
    <row r="33" spans="1:11" ht="36.75" customHeight="1">
      <c r="A33" s="251" t="s">
        <v>207</v>
      </c>
      <c r="B33" s="197" t="s">
        <v>228</v>
      </c>
      <c r="C33" s="171">
        <f>'прил 14 '!E390</f>
        <v>19052341.359999999</v>
      </c>
      <c r="D33" s="171">
        <f>'прил 14 '!F390</f>
        <v>19955093.399999999</v>
      </c>
      <c r="E33" s="303"/>
      <c r="F33" s="303"/>
      <c r="G33" s="303"/>
      <c r="H33" s="257"/>
      <c r="I33" s="7"/>
      <c r="J33" s="7"/>
      <c r="K33" s="257"/>
    </row>
    <row r="34" spans="1:11" ht="33" customHeight="1">
      <c r="A34" s="251" t="s">
        <v>211</v>
      </c>
      <c r="B34" s="197" t="s">
        <v>229</v>
      </c>
      <c r="C34" s="171">
        <f>'прил 14 '!E460+'прил 14 '!E467</f>
        <v>746500</v>
      </c>
      <c r="D34" s="171">
        <f>'прил 14 '!F460+'прил 14 '!F467</f>
        <v>746500</v>
      </c>
      <c r="E34" s="303"/>
      <c r="F34" s="303"/>
      <c r="G34" s="303"/>
      <c r="H34" s="257"/>
      <c r="I34" s="7"/>
      <c r="J34" s="7"/>
      <c r="K34" s="257"/>
    </row>
    <row r="35" spans="1:11" ht="24" customHeight="1">
      <c r="A35" s="208" t="s">
        <v>608</v>
      </c>
      <c r="B35" s="197" t="s">
        <v>609</v>
      </c>
      <c r="C35" s="171">
        <f>'прил 14 '!E397</f>
        <v>4494748.6160000004</v>
      </c>
      <c r="D35" s="171">
        <f>'прил 14 '!F397</f>
        <v>0</v>
      </c>
      <c r="E35" s="303"/>
      <c r="F35" s="303"/>
      <c r="G35" s="303"/>
      <c r="H35" s="257"/>
      <c r="I35" s="7"/>
      <c r="J35" s="7"/>
      <c r="K35" s="257"/>
    </row>
    <row r="36" spans="1:11" ht="35.4" customHeight="1">
      <c r="A36" s="251" t="s">
        <v>689</v>
      </c>
      <c r="B36" s="197" t="s">
        <v>688</v>
      </c>
      <c r="C36" s="171">
        <f>'прил 14 '!E447</f>
        <v>25737149.199999999</v>
      </c>
      <c r="D36" s="171">
        <f>'прил 14 '!F447</f>
        <v>26997065.960000001</v>
      </c>
      <c r="E36" s="303"/>
      <c r="F36" s="303"/>
      <c r="G36" s="303"/>
      <c r="H36" s="257"/>
      <c r="I36" s="7"/>
      <c r="J36" s="7"/>
      <c r="K36" s="257"/>
    </row>
    <row r="37" spans="1:11" ht="36.75" customHeight="1">
      <c r="A37" s="191" t="s">
        <v>870</v>
      </c>
      <c r="B37" s="192" t="s">
        <v>135</v>
      </c>
      <c r="C37" s="215">
        <f>C38+C39</f>
        <v>470000</v>
      </c>
      <c r="D37" s="215">
        <f>D38+D39</f>
        <v>470000</v>
      </c>
      <c r="E37" s="303"/>
      <c r="F37" s="303">
        <f>'прил 14 '!E561</f>
        <v>470000</v>
      </c>
      <c r="G37" s="303">
        <f>'прил 14 '!F561</f>
        <v>470000</v>
      </c>
      <c r="H37" s="257"/>
      <c r="I37" s="7"/>
      <c r="J37" s="7"/>
      <c r="K37" s="257"/>
    </row>
    <row r="38" spans="1:11" ht="54">
      <c r="A38" s="251" t="s">
        <v>418</v>
      </c>
      <c r="B38" s="197" t="s">
        <v>392</v>
      </c>
      <c r="C38" s="167">
        <f>'прил 12'!F325</f>
        <v>440000</v>
      </c>
      <c r="D38" s="167">
        <f>'прил 12'!G325</f>
        <v>440000</v>
      </c>
      <c r="E38" s="303"/>
      <c r="F38" s="303">
        <f>C37-F37</f>
        <v>0</v>
      </c>
      <c r="G38" s="303">
        <f>D37-G37</f>
        <v>0</v>
      </c>
      <c r="H38" s="257"/>
      <c r="I38" s="7"/>
      <c r="J38" s="7"/>
      <c r="K38" s="257"/>
    </row>
    <row r="39" spans="1:11" ht="31.65" customHeight="1">
      <c r="A39" s="251" t="s">
        <v>248</v>
      </c>
      <c r="B39" s="197" t="s">
        <v>246</v>
      </c>
      <c r="C39" s="171">
        <f>'прил 12'!F329</f>
        <v>30000</v>
      </c>
      <c r="D39" s="171">
        <f>'прил 12'!G329</f>
        <v>30000</v>
      </c>
      <c r="E39" s="303"/>
      <c r="F39" s="303"/>
      <c r="G39" s="303"/>
      <c r="H39" s="257"/>
      <c r="I39" s="7"/>
      <c r="J39" s="7"/>
      <c r="K39" s="257"/>
    </row>
    <row r="40" spans="1:11" ht="38.25" customHeight="1">
      <c r="A40" s="191" t="s">
        <v>895</v>
      </c>
      <c r="B40" s="192" t="s">
        <v>200</v>
      </c>
      <c r="C40" s="215">
        <f>C41+C42</f>
        <v>829482.2</v>
      </c>
      <c r="D40" s="215">
        <f>D41+D42</f>
        <v>985459.8</v>
      </c>
      <c r="E40" s="303"/>
      <c r="F40" s="303">
        <f>'прил 14 '!E562</f>
        <v>829482.2</v>
      </c>
      <c r="G40" s="303">
        <f>'прил 14 '!F562</f>
        <v>985459.8</v>
      </c>
      <c r="H40" s="257"/>
      <c r="I40" s="7"/>
      <c r="J40" s="7"/>
      <c r="K40" s="257"/>
    </row>
    <row r="41" spans="1:11" ht="39.15" customHeight="1">
      <c r="A41" s="251" t="s">
        <v>865</v>
      </c>
      <c r="B41" s="197" t="s">
        <v>230</v>
      </c>
      <c r="C41" s="171">
        <f>'прил 12'!F433</f>
        <v>661000</v>
      </c>
      <c r="D41" s="171">
        <f>'прил 12'!G433</f>
        <v>661000</v>
      </c>
      <c r="E41" s="303"/>
      <c r="F41" s="303">
        <f>C40-F40</f>
        <v>0</v>
      </c>
      <c r="G41" s="303">
        <f>D40-G40</f>
        <v>0</v>
      </c>
      <c r="H41" s="257"/>
      <c r="I41" s="7"/>
      <c r="J41" s="7"/>
      <c r="K41" s="257"/>
    </row>
    <row r="42" spans="1:11" ht="39.15" customHeight="1">
      <c r="A42" s="251" t="s">
        <v>305</v>
      </c>
      <c r="B42" s="197" t="s">
        <v>303</v>
      </c>
      <c r="C42" s="171">
        <f>'прил 12'!F439</f>
        <v>168482.2</v>
      </c>
      <c r="D42" s="171">
        <f>'прил 12'!G439</f>
        <v>324459.8</v>
      </c>
      <c r="E42" s="303"/>
      <c r="F42" s="303"/>
      <c r="G42" s="303"/>
      <c r="H42" s="257"/>
      <c r="I42" s="7"/>
      <c r="J42" s="7"/>
      <c r="K42" s="257"/>
    </row>
    <row r="43" spans="1:11" ht="45" customHeight="1">
      <c r="A43" s="191" t="s">
        <v>890</v>
      </c>
      <c r="B43" s="192" t="s">
        <v>129</v>
      </c>
      <c r="C43" s="215">
        <f>C44</f>
        <v>150000</v>
      </c>
      <c r="D43" s="215">
        <f>D44</f>
        <v>150000</v>
      </c>
      <c r="E43" s="303"/>
      <c r="F43" s="303">
        <f>'прил 14 '!E563</f>
        <v>150000</v>
      </c>
      <c r="G43" s="303">
        <f>'прил 14 '!F563</f>
        <v>150000</v>
      </c>
      <c r="H43" s="257"/>
      <c r="I43" s="7"/>
      <c r="J43" s="7"/>
      <c r="K43" s="257"/>
    </row>
    <row r="44" spans="1:11" ht="36">
      <c r="A44" s="251" t="s">
        <v>419</v>
      </c>
      <c r="B44" s="197" t="s">
        <v>413</v>
      </c>
      <c r="C44" s="171">
        <f>'прил 12'!F397</f>
        <v>150000</v>
      </c>
      <c r="D44" s="171">
        <f>'прил 12'!G397</f>
        <v>150000</v>
      </c>
      <c r="E44" s="303"/>
      <c r="F44" s="303">
        <f>C43-F43</f>
        <v>0</v>
      </c>
      <c r="G44" s="303">
        <f>D43-G43</f>
        <v>0</v>
      </c>
      <c r="H44" s="257"/>
      <c r="I44" s="7"/>
      <c r="J44" s="7"/>
      <c r="K44" s="257"/>
    </row>
    <row r="45" spans="1:11" ht="39.15" customHeight="1">
      <c r="A45" s="191" t="s">
        <v>858</v>
      </c>
      <c r="B45" s="192" t="s">
        <v>128</v>
      </c>
      <c r="C45" s="215">
        <f>C46+C47+C48</f>
        <v>25122401.030000001</v>
      </c>
      <c r="D45" s="215">
        <f>D46+D47+D48</f>
        <v>25245823.800000001</v>
      </c>
      <c r="E45" s="303"/>
      <c r="F45" s="303">
        <f>'прил 14 '!E564</f>
        <v>25122401.030000001</v>
      </c>
      <c r="G45" s="303">
        <f>'прил 14 '!F564</f>
        <v>25245823.800000001</v>
      </c>
      <c r="H45" s="257"/>
      <c r="I45" s="7"/>
      <c r="J45" s="7"/>
      <c r="K45" s="257"/>
    </row>
    <row r="46" spans="1:11" ht="39.15" customHeight="1">
      <c r="A46" s="251" t="s">
        <v>863</v>
      </c>
      <c r="B46" s="197" t="s">
        <v>315</v>
      </c>
      <c r="C46" s="307">
        <f>'прил 12'!F27+'прил 12'!F68+'прил 12'!F485</f>
        <v>886905</v>
      </c>
      <c r="D46" s="307">
        <f>'прил 12'!G27+'прил 12'!G68+'прил 12'!G485</f>
        <v>886905</v>
      </c>
      <c r="E46" s="303"/>
      <c r="F46" s="303">
        <f>C45-F45</f>
        <v>0</v>
      </c>
      <c r="G46" s="303">
        <f>D45-G45</f>
        <v>0</v>
      </c>
      <c r="H46" s="257"/>
      <c r="I46" s="7"/>
      <c r="J46" s="7"/>
      <c r="K46" s="257"/>
    </row>
    <row r="47" spans="1:11" ht="36">
      <c r="A47" s="251" t="s">
        <v>216</v>
      </c>
      <c r="B47" s="197" t="s">
        <v>231</v>
      </c>
      <c r="C47" s="171">
        <f>'прил 12'!F75</f>
        <v>22135496.030000001</v>
      </c>
      <c r="D47" s="171">
        <f>'прил 12'!G75</f>
        <v>22258918.800000001</v>
      </c>
      <c r="E47" s="303"/>
      <c r="F47" s="303"/>
      <c r="G47" s="303"/>
      <c r="H47" s="257"/>
      <c r="I47" s="7"/>
      <c r="J47" s="7"/>
      <c r="K47" s="257"/>
    </row>
    <row r="48" spans="1:11">
      <c r="A48" s="196" t="s">
        <v>762</v>
      </c>
      <c r="B48" s="197" t="s">
        <v>270</v>
      </c>
      <c r="C48" s="171">
        <f>'прил 12'!F83</f>
        <v>2100000</v>
      </c>
      <c r="D48" s="171">
        <f>'прил 12'!G83</f>
        <v>2100000</v>
      </c>
      <c r="E48" s="303"/>
      <c r="F48" s="303"/>
      <c r="G48" s="303"/>
      <c r="H48" s="257"/>
      <c r="I48" s="7"/>
      <c r="J48" s="7"/>
      <c r="K48" s="257"/>
    </row>
    <row r="49" spans="1:11" ht="65.25" customHeight="1">
      <c r="A49" s="191" t="s">
        <v>872</v>
      </c>
      <c r="B49" s="192" t="s">
        <v>134</v>
      </c>
      <c r="C49" s="215">
        <f>C50+C51</f>
        <v>16400000</v>
      </c>
      <c r="D49" s="215">
        <f>D50+D51</f>
        <v>12900000</v>
      </c>
      <c r="E49" s="303"/>
      <c r="F49" s="303">
        <f>'прил 14 '!E565</f>
        <v>16400000</v>
      </c>
      <c r="G49" s="303">
        <f>'прил 14 '!F565</f>
        <v>12900000</v>
      </c>
      <c r="H49" s="257"/>
      <c r="I49" s="7"/>
      <c r="J49" s="7"/>
      <c r="K49" s="257"/>
    </row>
    <row r="50" spans="1:11" ht="37.5" customHeight="1">
      <c r="A50" s="251" t="s">
        <v>896</v>
      </c>
      <c r="B50" s="197" t="s">
        <v>350</v>
      </c>
      <c r="C50" s="171">
        <f>'прил 12'!F237+'прил 12'!F315</f>
        <v>15500000</v>
      </c>
      <c r="D50" s="171">
        <f>'прил 12'!G237+'прил 12'!G315</f>
        <v>12000000</v>
      </c>
      <c r="E50" s="303"/>
      <c r="F50" s="303">
        <f>C49-F49</f>
        <v>0</v>
      </c>
      <c r="G50" s="303">
        <f>D49-G49</f>
        <v>0</v>
      </c>
      <c r="H50" s="257"/>
      <c r="I50" s="7"/>
      <c r="J50" s="7"/>
      <c r="K50" s="257"/>
    </row>
    <row r="51" spans="1:11" ht="18.75" customHeight="1">
      <c r="A51" s="308" t="s">
        <v>218</v>
      </c>
      <c r="B51" s="197" t="s">
        <v>232</v>
      </c>
      <c r="C51" s="171">
        <f>'прил 12'!F269</f>
        <v>900000</v>
      </c>
      <c r="D51" s="171">
        <f>'прил 12'!G269</f>
        <v>900000</v>
      </c>
      <c r="E51" s="303"/>
      <c r="F51" s="303"/>
      <c r="G51" s="303"/>
      <c r="H51" s="257"/>
      <c r="I51" s="7"/>
      <c r="J51" s="7"/>
      <c r="K51" s="257"/>
    </row>
    <row r="52" spans="1:11" ht="37.5" customHeight="1">
      <c r="A52" s="309" t="s">
        <v>881</v>
      </c>
      <c r="B52" s="192" t="s">
        <v>131</v>
      </c>
      <c r="C52" s="215">
        <f>C53</f>
        <v>50000</v>
      </c>
      <c r="D52" s="215">
        <f>D53</f>
        <v>50000</v>
      </c>
      <c r="E52" s="303"/>
      <c r="F52" s="303">
        <f>'прил 14 '!E566</f>
        <v>50000</v>
      </c>
      <c r="G52" s="303">
        <f>'прил 14 '!F566</f>
        <v>50000</v>
      </c>
      <c r="H52" s="257"/>
      <c r="I52" s="7"/>
      <c r="J52" s="7"/>
      <c r="K52" s="257"/>
    </row>
    <row r="53" spans="1:11">
      <c r="A53" s="308" t="s">
        <v>324</v>
      </c>
      <c r="B53" s="197" t="s">
        <v>233</v>
      </c>
      <c r="C53" s="171">
        <f>'прил 12'!F91</f>
        <v>50000</v>
      </c>
      <c r="D53" s="171">
        <f>'прил 12'!G91</f>
        <v>50000</v>
      </c>
      <c r="E53" s="303"/>
      <c r="F53" s="303">
        <f>C52-F52</f>
        <v>0</v>
      </c>
      <c r="G53" s="303">
        <f>D52-G52</f>
        <v>0</v>
      </c>
      <c r="H53" s="257"/>
      <c r="I53" s="7"/>
      <c r="J53" s="7"/>
      <c r="K53" s="257"/>
    </row>
    <row r="54" spans="1:11" ht="52.2">
      <c r="A54" s="191" t="s">
        <v>878</v>
      </c>
      <c r="B54" s="192" t="s">
        <v>412</v>
      </c>
      <c r="C54" s="215">
        <f>C55</f>
        <v>100000</v>
      </c>
      <c r="D54" s="215">
        <f>D55</f>
        <v>100000</v>
      </c>
      <c r="E54" s="303"/>
      <c r="F54" s="303"/>
      <c r="G54" s="303"/>
      <c r="H54" s="257"/>
      <c r="I54" s="7"/>
      <c r="J54" s="7"/>
      <c r="K54" s="257"/>
    </row>
    <row r="55" spans="1:11" ht="36">
      <c r="A55" s="196" t="s">
        <v>801</v>
      </c>
      <c r="B55" s="197" t="s">
        <v>414</v>
      </c>
      <c r="C55" s="171">
        <f>'прил 12'!F210</f>
        <v>100000</v>
      </c>
      <c r="D55" s="171">
        <f>'прил 12'!G210</f>
        <v>100000</v>
      </c>
      <c r="E55" s="303"/>
      <c r="F55" s="303"/>
      <c r="G55" s="303"/>
      <c r="H55" s="257"/>
      <c r="I55" s="7"/>
      <c r="J55" s="7"/>
      <c r="K55" s="257"/>
    </row>
    <row r="56" spans="1:11" ht="39.75" customHeight="1">
      <c r="A56" s="191" t="s">
        <v>897</v>
      </c>
      <c r="B56" s="192" t="s">
        <v>374</v>
      </c>
      <c r="C56" s="215">
        <f>C57</f>
        <v>802327.65</v>
      </c>
      <c r="D56" s="215">
        <f>D57</f>
        <v>859633.22</v>
      </c>
      <c r="E56" s="303"/>
      <c r="F56" s="303">
        <f>'прил 14 '!E568</f>
        <v>802327.65</v>
      </c>
      <c r="G56" s="303">
        <f>'прил 14 '!F568</f>
        <v>859633.22</v>
      </c>
      <c r="H56" s="257"/>
      <c r="I56" s="7"/>
      <c r="J56" s="7"/>
      <c r="K56" s="257"/>
    </row>
    <row r="57" spans="1:11" s="286" customFormat="1" ht="36.75" customHeight="1">
      <c r="A57" s="310" t="s">
        <v>422</v>
      </c>
      <c r="B57" s="197" t="s">
        <v>375</v>
      </c>
      <c r="C57" s="171">
        <f>'прил 12'!F401</f>
        <v>802327.65</v>
      </c>
      <c r="D57" s="171">
        <f>'прил 12'!G401</f>
        <v>859633.22</v>
      </c>
      <c r="E57" s="311"/>
      <c r="F57" s="311">
        <f>C56-F56</f>
        <v>0</v>
      </c>
      <c r="G57" s="311">
        <f>D56-G56</f>
        <v>0</v>
      </c>
      <c r="H57" s="265"/>
      <c r="I57" s="266"/>
      <c r="J57" s="266"/>
      <c r="K57" s="265"/>
    </row>
    <row r="58" spans="1:11" ht="39.75" customHeight="1">
      <c r="A58" s="309" t="s">
        <v>900</v>
      </c>
      <c r="B58" s="192" t="s">
        <v>317</v>
      </c>
      <c r="C58" s="215">
        <f>C59</f>
        <v>4521373.5</v>
      </c>
      <c r="D58" s="215">
        <f>D59</f>
        <v>4521373.5</v>
      </c>
      <c r="E58" s="303"/>
      <c r="F58" s="303">
        <f>'прил 14 '!E569</f>
        <v>4521373.5</v>
      </c>
      <c r="G58" s="303">
        <f>'прил 14 '!F569</f>
        <v>4521373.5</v>
      </c>
      <c r="H58" s="257"/>
      <c r="I58" s="7"/>
      <c r="J58" s="7"/>
      <c r="K58" s="257"/>
    </row>
    <row r="59" spans="1:11" ht="36">
      <c r="A59" s="312" t="s">
        <v>249</v>
      </c>
      <c r="B59" s="197" t="s">
        <v>318</v>
      </c>
      <c r="C59" s="171">
        <f>'прил 12'!F32+'прил 12'!F96+'прил 12'!F457</f>
        <v>4521373.5</v>
      </c>
      <c r="D59" s="171">
        <f>'прил 12'!G32+'прил 12'!G96+'прил 12'!G457</f>
        <v>4521373.5</v>
      </c>
      <c r="E59" s="303"/>
      <c r="F59" s="303">
        <f>C58-F58</f>
        <v>0</v>
      </c>
      <c r="G59" s="303">
        <f>D58-G58</f>
        <v>0</v>
      </c>
      <c r="H59" s="257"/>
      <c r="I59" s="7"/>
      <c r="J59" s="7"/>
      <c r="K59" s="257"/>
    </row>
    <row r="60" spans="1:11" ht="52.2">
      <c r="A60" s="313" t="s">
        <v>879</v>
      </c>
      <c r="B60" s="192" t="s">
        <v>335</v>
      </c>
      <c r="C60" s="215">
        <f>C61</f>
        <v>13157000</v>
      </c>
      <c r="D60" s="215">
        <f>D61</f>
        <v>14166000</v>
      </c>
      <c r="E60" s="303"/>
      <c r="F60" s="303">
        <f>'прил 14 '!E570</f>
        <v>13157000</v>
      </c>
      <c r="G60" s="303">
        <f>'прил 14 '!F570</f>
        <v>14166000</v>
      </c>
      <c r="H60" s="257"/>
      <c r="I60" s="7"/>
      <c r="J60" s="7"/>
      <c r="K60" s="257"/>
    </row>
    <row r="61" spans="1:11" ht="33" customHeight="1">
      <c r="A61" s="308" t="s">
        <v>217</v>
      </c>
      <c r="B61" s="197" t="s">
        <v>337</v>
      </c>
      <c r="C61" s="171">
        <f>'прил 12'!F198</f>
        <v>13157000</v>
      </c>
      <c r="D61" s="171">
        <f>'прил 12'!G198</f>
        <v>14166000</v>
      </c>
      <c r="E61" s="303"/>
      <c r="F61" s="303">
        <f>C60-F60</f>
        <v>0</v>
      </c>
      <c r="G61" s="303">
        <f>D60-G60</f>
        <v>0</v>
      </c>
      <c r="H61" s="257"/>
      <c r="I61" s="7"/>
      <c r="J61" s="7"/>
      <c r="K61" s="257"/>
    </row>
    <row r="62" spans="1:11" ht="76.650000000000006" customHeight="1">
      <c r="A62" s="191" t="s">
        <v>901</v>
      </c>
      <c r="B62" s="305" t="s">
        <v>363</v>
      </c>
      <c r="C62" s="170">
        <f>C63</f>
        <v>45000</v>
      </c>
      <c r="D62" s="170">
        <f>D63</f>
        <v>45000</v>
      </c>
      <c r="E62" s="303"/>
      <c r="F62" s="303">
        <f>'прил 14 '!E571</f>
        <v>45000</v>
      </c>
      <c r="G62" s="303">
        <f>'прил 14 '!F571</f>
        <v>45000</v>
      </c>
      <c r="H62" s="257"/>
      <c r="I62" s="7"/>
      <c r="J62" s="7"/>
      <c r="K62" s="257"/>
    </row>
    <row r="63" spans="1:11" ht="36" customHeight="1">
      <c r="A63" s="201" t="s">
        <v>212</v>
      </c>
      <c r="B63" s="197" t="s">
        <v>365</v>
      </c>
      <c r="C63" s="171">
        <f>'прил 12'!F334</f>
        <v>45000</v>
      </c>
      <c r="D63" s="171">
        <f>'прил 12'!G334</f>
        <v>45000</v>
      </c>
      <c r="E63" s="303"/>
      <c r="F63" s="303">
        <f>C62-F62</f>
        <v>0</v>
      </c>
      <c r="G63" s="303">
        <f>D62-G62</f>
        <v>0</v>
      </c>
      <c r="H63" s="257"/>
      <c r="I63" s="7"/>
      <c r="J63" s="7"/>
      <c r="K63" s="257"/>
    </row>
    <row r="64" spans="1:11" ht="52.2">
      <c r="A64" s="314" t="s">
        <v>877</v>
      </c>
      <c r="B64" s="192" t="s">
        <v>340</v>
      </c>
      <c r="C64" s="215">
        <f>C65+C66</f>
        <v>430000</v>
      </c>
      <c r="D64" s="215">
        <f>D65+D66</f>
        <v>3430000</v>
      </c>
      <c r="E64" s="303"/>
      <c r="F64" s="303">
        <f>'прил 14 '!E572</f>
        <v>430000</v>
      </c>
      <c r="G64" s="303">
        <f>'прил 14 '!F572</f>
        <v>3430000</v>
      </c>
      <c r="H64" s="257"/>
      <c r="I64" s="7"/>
      <c r="J64" s="7"/>
      <c r="K64" s="257"/>
    </row>
    <row r="65" spans="1:11" ht="36">
      <c r="A65" s="251" t="s">
        <v>423</v>
      </c>
      <c r="B65" s="197" t="s">
        <v>341</v>
      </c>
      <c r="C65" s="171">
        <f>'прил 12'!F215</f>
        <v>300000</v>
      </c>
      <c r="D65" s="171">
        <f>'прил 12'!G215</f>
        <v>3300000</v>
      </c>
      <c r="E65" s="303"/>
      <c r="F65" s="303">
        <f>C64-F64</f>
        <v>0</v>
      </c>
      <c r="G65" s="303">
        <f>D64-G64</f>
        <v>0</v>
      </c>
      <c r="H65" s="257"/>
      <c r="I65" s="7"/>
      <c r="J65" s="7"/>
      <c r="K65" s="257"/>
    </row>
    <row r="66" spans="1:11" ht="36">
      <c r="A66" s="251" t="s">
        <v>388</v>
      </c>
      <c r="B66" s="197" t="s">
        <v>387</v>
      </c>
      <c r="C66" s="171">
        <f>'прил 12'!F219</f>
        <v>130000</v>
      </c>
      <c r="D66" s="171">
        <f>'прил 12'!G219</f>
        <v>130000</v>
      </c>
      <c r="F66" s="295"/>
      <c r="G66" s="303"/>
      <c r="H66" s="257"/>
      <c r="I66" s="257"/>
      <c r="J66" s="257"/>
      <c r="K66" s="257"/>
    </row>
    <row r="67" spans="1:11" ht="52.35" customHeight="1">
      <c r="A67" s="314" t="s">
        <v>880</v>
      </c>
      <c r="B67" s="192" t="s">
        <v>331</v>
      </c>
      <c r="C67" s="215">
        <f>C68</f>
        <v>7401263.6200000001</v>
      </c>
      <c r="D67" s="215">
        <f>D68</f>
        <v>4100000</v>
      </c>
      <c r="E67" s="303"/>
      <c r="F67" s="303">
        <f>'прил 14 '!E573</f>
        <v>4100000</v>
      </c>
      <c r="G67" s="303">
        <f>'прил 14 '!F573</f>
        <v>4100000</v>
      </c>
      <c r="H67" s="7"/>
      <c r="I67" s="257"/>
      <c r="J67" s="7"/>
      <c r="K67" s="257"/>
    </row>
    <row r="68" spans="1:11" ht="36">
      <c r="A68" s="251" t="s">
        <v>215</v>
      </c>
      <c r="B68" s="197" t="s">
        <v>332</v>
      </c>
      <c r="C68" s="171">
        <f>'прил 12'!F104+'прил 12'!F226+'прил 12'!F383</f>
        <v>7401263.6200000001</v>
      </c>
      <c r="D68" s="171">
        <f>'прил 12'!G104+'прил 12'!G226</f>
        <v>4100000</v>
      </c>
      <c r="E68" s="303"/>
      <c r="F68" s="303">
        <f>C67-F67</f>
        <v>3301263.62</v>
      </c>
      <c r="G68" s="303">
        <f>D67-G67</f>
        <v>0</v>
      </c>
      <c r="H68" s="257"/>
      <c r="I68" s="7"/>
      <c r="J68" s="7"/>
      <c r="K68" s="257"/>
    </row>
    <row r="69" spans="1:11" ht="63.75" customHeight="1">
      <c r="A69" s="237" t="s">
        <v>849</v>
      </c>
      <c r="B69" s="192" t="s">
        <v>320</v>
      </c>
      <c r="C69" s="215">
        <f>C70</f>
        <v>100000</v>
      </c>
      <c r="D69" s="215">
        <f>D70</f>
        <v>100000</v>
      </c>
      <c r="E69" s="303"/>
      <c r="F69" s="303">
        <f>'прил 14 '!E574</f>
        <v>100000</v>
      </c>
      <c r="G69" s="303">
        <f>'прил 14 '!F574</f>
        <v>100000</v>
      </c>
      <c r="H69" s="257"/>
      <c r="I69" s="7"/>
      <c r="J69" s="7"/>
      <c r="K69" s="257"/>
    </row>
    <row r="70" spans="1:11" ht="43.5" customHeight="1">
      <c r="A70" s="315" t="s">
        <v>831</v>
      </c>
      <c r="B70" s="197" t="s">
        <v>832</v>
      </c>
      <c r="C70" s="171">
        <f>'прил 12'!F192</f>
        <v>100000</v>
      </c>
      <c r="D70" s="171">
        <f>'прил 12'!G192</f>
        <v>100000</v>
      </c>
      <c r="E70" s="303"/>
      <c r="F70" s="303"/>
      <c r="G70" s="303"/>
      <c r="H70" s="257"/>
      <c r="I70" s="7"/>
      <c r="J70" s="7"/>
      <c r="K70" s="257"/>
    </row>
    <row r="71" spans="1:11" ht="39.15" customHeight="1">
      <c r="A71" s="316" t="s">
        <v>856</v>
      </c>
      <c r="B71" s="192" t="s">
        <v>464</v>
      </c>
      <c r="C71" s="215">
        <f>C72</f>
        <v>50000</v>
      </c>
      <c r="D71" s="215">
        <f>D72</f>
        <v>50000</v>
      </c>
      <c r="F71" s="295">
        <f>'прил 14 '!E575</f>
        <v>50000</v>
      </c>
      <c r="G71" s="295">
        <f>'прил 14 '!F575</f>
        <v>50000</v>
      </c>
    </row>
    <row r="72" spans="1:11">
      <c r="A72" s="317" t="s">
        <v>465</v>
      </c>
      <c r="B72" s="197" t="s">
        <v>466</v>
      </c>
      <c r="C72" s="171">
        <f>'прил 12'!F450</f>
        <v>50000</v>
      </c>
      <c r="D72" s="171">
        <f>'прил 12'!G450</f>
        <v>50000</v>
      </c>
      <c r="F72" s="295">
        <f>C71-F71</f>
        <v>0</v>
      </c>
      <c r="G72" s="295">
        <f>D71-G71</f>
        <v>0</v>
      </c>
    </row>
    <row r="73" spans="1:11" ht="62.4" customHeight="1">
      <c r="A73" s="191" t="s">
        <v>512</v>
      </c>
      <c r="B73" s="192" t="s">
        <v>513</v>
      </c>
      <c r="C73" s="215">
        <f>C74</f>
        <v>9700000</v>
      </c>
      <c r="D73" s="215">
        <f>D74</f>
        <v>6000000</v>
      </c>
      <c r="F73" s="295">
        <f>'прил 14 '!E576</f>
        <v>9700000</v>
      </c>
      <c r="G73" s="295">
        <f>'прил 14 '!F576</f>
        <v>6000000</v>
      </c>
    </row>
    <row r="74" spans="1:11" ht="36">
      <c r="A74" s="196" t="s">
        <v>514</v>
      </c>
      <c r="B74" s="197">
        <v>1895800000</v>
      </c>
      <c r="C74" s="171">
        <f>'прил 12'!F280</f>
        <v>9700000</v>
      </c>
      <c r="D74" s="171">
        <f>'прил 12'!G280</f>
        <v>6000000</v>
      </c>
      <c r="F74" s="295">
        <f>C73-F73</f>
        <v>0</v>
      </c>
      <c r="G74" s="295">
        <f>D73-G73</f>
        <v>0</v>
      </c>
    </row>
    <row r="75" spans="1:11" ht="52.2">
      <c r="A75" s="191" t="s">
        <v>522</v>
      </c>
      <c r="B75" s="192" t="s">
        <v>523</v>
      </c>
      <c r="C75" s="215">
        <f>C76+C78</f>
        <v>19974076.27</v>
      </c>
      <c r="D75" s="215">
        <f>D76+D78</f>
        <v>20709227.807</v>
      </c>
      <c r="F75" s="295">
        <f>'прил 14 '!E577</f>
        <v>19974076.27</v>
      </c>
      <c r="G75" s="295">
        <f>'прил 14 '!F577</f>
        <v>20709227.807</v>
      </c>
    </row>
    <row r="76" spans="1:11" ht="36" customHeight="1">
      <c r="A76" s="318" t="s">
        <v>554</v>
      </c>
      <c r="B76" s="319">
        <v>1910000000</v>
      </c>
      <c r="C76" s="170">
        <f>C77</f>
        <v>6616389.0700000003</v>
      </c>
      <c r="D76" s="170">
        <f>D77</f>
        <v>7351540.5999999996</v>
      </c>
      <c r="F76" s="295"/>
      <c r="G76" s="295"/>
    </row>
    <row r="77" spans="1:11" ht="20.25" customHeight="1">
      <c r="A77" s="320" t="s">
        <v>553</v>
      </c>
      <c r="B77" s="321" t="s">
        <v>556</v>
      </c>
      <c r="C77" s="171">
        <f>'прил 12'!F292</f>
        <v>6616389.0700000003</v>
      </c>
      <c r="D77" s="171">
        <f>'прил 12'!G292</f>
        <v>7351540.5999999996</v>
      </c>
      <c r="F77" s="295"/>
      <c r="G77" s="295"/>
    </row>
    <row r="78" spans="1:11" ht="40.65" customHeight="1">
      <c r="A78" s="318" t="s">
        <v>558</v>
      </c>
      <c r="B78" s="319">
        <v>1920000000</v>
      </c>
      <c r="C78" s="170">
        <f>C79</f>
        <v>13357687.199999999</v>
      </c>
      <c r="D78" s="170">
        <f>D79</f>
        <v>13357687.207</v>
      </c>
      <c r="F78" s="295"/>
      <c r="G78" s="295"/>
    </row>
    <row r="79" spans="1:11" ht="36">
      <c r="A79" s="251" t="s">
        <v>559</v>
      </c>
      <c r="B79" s="321">
        <v>1925900000</v>
      </c>
      <c r="C79" s="171">
        <f>'прил 12'!F300</f>
        <v>13357687.199999999</v>
      </c>
      <c r="D79" s="171">
        <f>'прил 12'!G300</f>
        <v>13357687.207</v>
      </c>
      <c r="F79" s="295"/>
      <c r="G79" s="295"/>
    </row>
    <row r="80" spans="1:11" ht="17.399999999999999">
      <c r="A80" s="366" t="s">
        <v>118</v>
      </c>
      <c r="B80" s="366"/>
      <c r="C80" s="287">
        <f>C14+C31+C37+C40+C43+C45+C49+C52+C56+C58+C60+C62+C64+C67+C71+C73+C75+C69+C54</f>
        <v>745993726.65600002</v>
      </c>
      <c r="D80" s="287">
        <f>D14+D31+D37+D40+D43+D45+D49+D52+D56+D58+D60+D62+D64+D67+D71+D73+D75+D69+D54</f>
        <v>760645692.78699994</v>
      </c>
      <c r="F80" s="295">
        <f>'прил 14 '!E629</f>
        <v>742692463.03600025</v>
      </c>
      <c r="G80" s="295">
        <f>'прил 14 '!F629</f>
        <v>760645692.78699994</v>
      </c>
    </row>
    <row r="82" spans="1:7">
      <c r="A82" s="294" t="s">
        <v>51</v>
      </c>
      <c r="D82" s="283"/>
      <c r="E82" s="259"/>
      <c r="F82" s="295">
        <f>F80-C80</f>
        <v>-3301263.6199997663</v>
      </c>
      <c r="G82" s="295">
        <f>G80-D80</f>
        <v>0</v>
      </c>
    </row>
    <row r="86" spans="1:7">
      <c r="C86" s="292">
        <f>'прил 14 '!E578</f>
        <v>152341492.48000002</v>
      </c>
      <c r="D86" s="292">
        <f>'прил 14 '!F578</f>
        <v>156132586.13</v>
      </c>
    </row>
    <row r="87" spans="1:7">
      <c r="C87" s="292">
        <f>'прил 12'!F675</f>
        <v>898335219.13600004</v>
      </c>
      <c r="D87" s="292">
        <f>'прил 12'!G675</f>
        <v>916778278.91700006</v>
      </c>
    </row>
    <row r="89" spans="1:7">
      <c r="C89" s="292">
        <f>C80+C86</f>
        <v>898335219.13600004</v>
      </c>
      <c r="D89" s="292">
        <f>D80+D86</f>
        <v>916778278.91699994</v>
      </c>
    </row>
  </sheetData>
  <mergeCells count="8">
    <mergeCell ref="A80:B80"/>
    <mergeCell ref="C3:D3"/>
    <mergeCell ref="C4:D4"/>
    <mergeCell ref="B2:D2"/>
    <mergeCell ref="C1:D1"/>
    <mergeCell ref="A9:D9"/>
    <mergeCell ref="A10:D10"/>
    <mergeCell ref="A11:D11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910"/>
  <sheetViews>
    <sheetView view="pageBreakPreview" zoomScale="86" zoomScaleNormal="100" zoomScaleSheetLayoutView="86" workbookViewId="0">
      <selection activeCell="D1" sqref="D1"/>
    </sheetView>
  </sheetViews>
  <sheetFormatPr defaultRowHeight="18"/>
  <cols>
    <col min="1" max="1" width="30.33203125" style="14" customWidth="1"/>
    <col min="2" max="2" width="40.44140625" style="14" customWidth="1"/>
    <col min="3" max="4" width="20.109375" style="14" customWidth="1"/>
    <col min="5" max="256" width="9.109375" style="7"/>
    <col min="257" max="257" width="26.88671875" style="7" customWidth="1"/>
    <col min="258" max="258" width="40.44140625" style="7" customWidth="1"/>
    <col min="259" max="259" width="13.4414062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4414062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4414062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4414062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4414062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4414062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4414062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4414062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4414062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4414062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4414062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4414062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4414062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4414062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4414062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4414062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4414062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4414062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4414062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4414062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4414062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4414062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4414062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4414062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4414062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4414062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4414062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4414062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4414062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4414062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4414062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4414062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4414062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4414062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4414062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4414062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4414062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4414062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4414062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4414062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4414062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4414062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4414062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4414062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4414062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4414062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4414062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4414062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4414062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4414062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4414062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4414062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4414062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4414062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4414062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4414062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4414062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4414062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4414062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4414062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4414062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4414062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44140625" style="7" customWidth="1"/>
    <col min="16132" max="16384" width="9.109375" style="7"/>
  </cols>
  <sheetData>
    <row r="1" spans="1:8">
      <c r="D1" s="347" t="s">
        <v>948</v>
      </c>
    </row>
    <row r="2" spans="1:8">
      <c r="B2" s="350" t="s">
        <v>933</v>
      </c>
      <c r="C2" s="350"/>
      <c r="D2" s="350"/>
    </row>
    <row r="3" spans="1:8">
      <c r="C3" s="350" t="s">
        <v>940</v>
      </c>
      <c r="D3" s="350"/>
    </row>
    <row r="4" spans="1:8">
      <c r="C4" s="350" t="s">
        <v>944</v>
      </c>
      <c r="D4" s="350"/>
    </row>
    <row r="5" spans="1:8">
      <c r="D5" s="73" t="s">
        <v>273</v>
      </c>
    </row>
    <row r="6" spans="1:8">
      <c r="D6" s="73" t="s">
        <v>930</v>
      </c>
    </row>
    <row r="7" spans="1:8">
      <c r="D7" s="73" t="s">
        <v>664</v>
      </c>
    </row>
    <row r="8" spans="1:8">
      <c r="D8" s="73" t="s">
        <v>936</v>
      </c>
    </row>
    <row r="9" spans="1:8" s="8" customFormat="1" ht="23.25" customHeight="1">
      <c r="A9" s="349" t="s">
        <v>157</v>
      </c>
      <c r="B9" s="349"/>
      <c r="C9" s="349"/>
      <c r="D9" s="349"/>
    </row>
    <row r="10" spans="1:8" ht="28.5" customHeight="1">
      <c r="A10" s="348" t="s">
        <v>549</v>
      </c>
      <c r="B10" s="348"/>
      <c r="C10" s="348"/>
      <c r="D10" s="348"/>
    </row>
    <row r="11" spans="1:8" ht="28.5" customHeight="1">
      <c r="A11" s="348" t="s">
        <v>835</v>
      </c>
      <c r="B11" s="348"/>
      <c r="C11" s="348"/>
      <c r="D11" s="348"/>
    </row>
    <row r="12" spans="1:8" ht="23.25" customHeight="1">
      <c r="A12" s="73"/>
      <c r="D12" s="73" t="s">
        <v>408</v>
      </c>
    </row>
    <row r="13" spans="1:8" ht="62.4" customHeight="1">
      <c r="A13" s="138" t="s">
        <v>159</v>
      </c>
      <c r="B13" s="138" t="s">
        <v>160</v>
      </c>
      <c r="C13" s="138" t="s">
        <v>473</v>
      </c>
      <c r="D13" s="138" t="s">
        <v>761</v>
      </c>
    </row>
    <row r="14" spans="1:8" ht="46.5" customHeight="1">
      <c r="A14" s="17" t="s">
        <v>161</v>
      </c>
      <c r="B14" s="18" t="s">
        <v>162</v>
      </c>
      <c r="C14" s="86">
        <f>C15+C16</f>
        <v>-4.0000677108764648E-3</v>
      </c>
      <c r="D14" s="86">
        <f>D15+D16</f>
        <v>0</v>
      </c>
      <c r="H14" s="7" t="s">
        <v>51</v>
      </c>
    </row>
    <row r="15" spans="1:8" ht="58.65" customHeight="1">
      <c r="A15" s="17" t="s">
        <v>674</v>
      </c>
      <c r="B15" s="18" t="s">
        <v>548</v>
      </c>
      <c r="C15" s="87">
        <f>-'прил 8'!C62</f>
        <v>-909005669.13999999</v>
      </c>
      <c r="D15" s="111">
        <f>-'прил 8'!D62</f>
        <v>-938748428.92000008</v>
      </c>
    </row>
    <row r="16" spans="1:8" ht="58.65" customHeight="1">
      <c r="A16" s="17" t="s">
        <v>675</v>
      </c>
      <c r="B16" s="18" t="s">
        <v>547</v>
      </c>
      <c r="C16" s="87">
        <f>'прил 12'!F679</f>
        <v>909005669.13599992</v>
      </c>
      <c r="D16" s="87">
        <f>'прил 12'!G679</f>
        <v>938748428.92000008</v>
      </c>
    </row>
    <row r="17" spans="1:4" ht="24.75" customHeight="1">
      <c r="A17" s="17"/>
      <c r="B17" s="19" t="s">
        <v>163</v>
      </c>
      <c r="C17" s="108">
        <f>C14</f>
        <v>-4.0000677108764648E-3</v>
      </c>
      <c r="D17" s="108">
        <f>D14</f>
        <v>0</v>
      </c>
    </row>
    <row r="18" spans="1:4" ht="51" customHeight="1">
      <c r="A18" s="20"/>
      <c r="B18" s="20"/>
      <c r="C18" s="20"/>
    </row>
    <row r="19" spans="1:4" ht="51" customHeight="1">
      <c r="A19" s="20"/>
      <c r="B19" s="20"/>
      <c r="C19" s="20"/>
    </row>
    <row r="20" spans="1:4" ht="51" customHeight="1">
      <c r="A20" s="20"/>
      <c r="B20" s="20"/>
      <c r="C20" s="20"/>
    </row>
    <row r="21" spans="1:4" ht="51" customHeight="1">
      <c r="A21" s="20"/>
      <c r="B21" s="20"/>
      <c r="C21" s="20"/>
    </row>
    <row r="22" spans="1:4" ht="51" customHeight="1">
      <c r="A22" s="20"/>
      <c r="B22" s="20"/>
      <c r="C22" s="20"/>
    </row>
    <row r="23" spans="1:4" ht="51" customHeight="1">
      <c r="A23" s="20"/>
      <c r="B23" s="20"/>
      <c r="C23" s="20"/>
    </row>
    <row r="24" spans="1:4" ht="51" customHeight="1">
      <c r="A24" s="20"/>
      <c r="B24" s="20"/>
      <c r="C24" s="20"/>
    </row>
    <row r="25" spans="1:4" ht="51" customHeight="1">
      <c r="A25" s="20"/>
      <c r="B25" s="20"/>
      <c r="C25" s="20"/>
    </row>
    <row r="26" spans="1:4" ht="51" customHeight="1">
      <c r="A26" s="20"/>
      <c r="B26" s="20"/>
      <c r="C26" s="20"/>
    </row>
    <row r="27" spans="1:4" ht="51" customHeight="1">
      <c r="A27" s="20"/>
      <c r="B27" s="20"/>
      <c r="C27" s="20"/>
    </row>
    <row r="28" spans="1:4" ht="51" customHeight="1">
      <c r="A28" s="20"/>
      <c r="B28" s="20"/>
      <c r="C28" s="20"/>
    </row>
    <row r="29" spans="1:4" ht="51" customHeight="1">
      <c r="A29" s="20"/>
      <c r="B29" s="20"/>
      <c r="C29" s="20"/>
    </row>
    <row r="30" spans="1:4" ht="51" customHeight="1">
      <c r="A30" s="20"/>
      <c r="B30" s="20"/>
      <c r="C30" s="20"/>
    </row>
    <row r="31" spans="1:4" ht="51" customHeight="1">
      <c r="A31" s="20"/>
      <c r="B31" s="20"/>
      <c r="C31" s="20"/>
    </row>
    <row r="32" spans="1:4" ht="51" customHeight="1">
      <c r="A32" s="20"/>
      <c r="B32" s="20"/>
      <c r="C32" s="20"/>
    </row>
    <row r="33" spans="1:3" ht="51" customHeight="1">
      <c r="A33" s="20"/>
      <c r="B33" s="20"/>
      <c r="C33" s="20"/>
    </row>
    <row r="34" spans="1:3" ht="51" customHeight="1">
      <c r="A34" s="20"/>
      <c r="B34" s="20"/>
      <c r="C34" s="20"/>
    </row>
    <row r="35" spans="1:3" ht="51" customHeight="1">
      <c r="A35" s="20"/>
      <c r="B35" s="20"/>
      <c r="C35" s="20"/>
    </row>
    <row r="36" spans="1:3" ht="51" customHeight="1">
      <c r="A36" s="20"/>
      <c r="B36" s="20"/>
      <c r="C36" s="20"/>
    </row>
    <row r="37" spans="1:3" ht="51" customHeight="1">
      <c r="A37" s="20"/>
      <c r="B37" s="20"/>
      <c r="C37" s="20"/>
    </row>
    <row r="38" spans="1:3" ht="51" customHeight="1">
      <c r="A38" s="20"/>
      <c r="B38" s="20"/>
      <c r="C38" s="20"/>
    </row>
    <row r="39" spans="1:3" ht="51" customHeight="1">
      <c r="A39" s="20"/>
      <c r="B39" s="20"/>
      <c r="C39" s="20"/>
    </row>
    <row r="40" spans="1:3" ht="51" customHeight="1">
      <c r="A40" s="20"/>
      <c r="B40" s="20"/>
      <c r="C40" s="20"/>
    </row>
    <row r="41" spans="1:3" ht="51" customHeight="1">
      <c r="A41" s="20"/>
      <c r="B41" s="20"/>
      <c r="C41" s="20"/>
    </row>
    <row r="42" spans="1:3" ht="51" customHeight="1">
      <c r="A42" s="20"/>
      <c r="B42" s="20"/>
      <c r="C42" s="20"/>
    </row>
    <row r="43" spans="1:3" ht="51" customHeight="1">
      <c r="A43" s="20"/>
      <c r="B43" s="20"/>
      <c r="C43" s="20"/>
    </row>
    <row r="44" spans="1:3" ht="51" customHeight="1">
      <c r="A44" s="20"/>
      <c r="B44" s="20"/>
      <c r="C44" s="20"/>
    </row>
    <row r="45" spans="1:3" ht="51" customHeight="1">
      <c r="A45" s="20"/>
      <c r="B45" s="20"/>
      <c r="C45" s="20"/>
    </row>
    <row r="46" spans="1:3" ht="51" customHeight="1">
      <c r="A46" s="20"/>
      <c r="B46" s="20"/>
      <c r="C46" s="20"/>
    </row>
    <row r="47" spans="1:3" ht="51" customHeight="1">
      <c r="A47" s="20"/>
      <c r="B47" s="20"/>
      <c r="C47" s="20"/>
    </row>
    <row r="48" spans="1:3" ht="51" customHeight="1">
      <c r="A48" s="20"/>
      <c r="B48" s="20"/>
      <c r="C48" s="20"/>
    </row>
    <row r="49" spans="1:3" ht="51" customHeight="1">
      <c r="A49" s="20"/>
      <c r="B49" s="20"/>
      <c r="C49" s="20"/>
    </row>
    <row r="50" spans="1:3" ht="51" customHeight="1">
      <c r="A50" s="20"/>
      <c r="B50" s="20"/>
      <c r="C50" s="20"/>
    </row>
    <row r="51" spans="1:3" ht="51" customHeight="1">
      <c r="A51" s="20"/>
      <c r="B51" s="20"/>
      <c r="C51" s="20"/>
    </row>
    <row r="52" spans="1:3" ht="51" customHeight="1">
      <c r="A52" s="20"/>
      <c r="B52" s="20"/>
      <c r="C52" s="20"/>
    </row>
    <row r="53" spans="1:3" ht="51" customHeight="1">
      <c r="A53" s="20"/>
      <c r="B53" s="20"/>
      <c r="C53" s="20"/>
    </row>
    <row r="54" spans="1:3" ht="51" customHeight="1">
      <c r="A54" s="20"/>
      <c r="B54" s="20"/>
      <c r="C54" s="20"/>
    </row>
    <row r="55" spans="1:3" ht="51" customHeight="1">
      <c r="A55" s="20"/>
      <c r="B55" s="20"/>
      <c r="C55" s="20"/>
    </row>
    <row r="56" spans="1:3" ht="51" customHeight="1">
      <c r="A56" s="20"/>
      <c r="B56" s="20"/>
      <c r="C56" s="20"/>
    </row>
    <row r="57" spans="1:3" ht="51" customHeight="1">
      <c r="A57" s="20"/>
      <c r="B57" s="20"/>
      <c r="C57" s="20"/>
    </row>
    <row r="58" spans="1:3" ht="51" customHeight="1">
      <c r="A58" s="20"/>
      <c r="B58" s="20"/>
      <c r="C58" s="20"/>
    </row>
    <row r="59" spans="1:3" ht="51" customHeight="1">
      <c r="A59" s="20"/>
      <c r="B59" s="20"/>
      <c r="C59" s="20"/>
    </row>
    <row r="60" spans="1:3" ht="51" customHeight="1">
      <c r="A60" s="20"/>
      <c r="B60" s="20"/>
      <c r="C60" s="20"/>
    </row>
    <row r="61" spans="1:3" ht="51" customHeight="1">
      <c r="A61" s="20"/>
      <c r="B61" s="20"/>
      <c r="C61" s="20"/>
    </row>
    <row r="62" spans="1:3" ht="51" customHeight="1">
      <c r="A62" s="20"/>
      <c r="B62" s="20"/>
      <c r="C62" s="20"/>
    </row>
    <row r="63" spans="1:3" ht="51" customHeight="1">
      <c r="A63" s="20"/>
      <c r="B63" s="20"/>
      <c r="C63" s="20"/>
    </row>
    <row r="64" spans="1:3" ht="51" customHeight="1">
      <c r="A64" s="20"/>
      <c r="B64" s="20"/>
      <c r="C64" s="20"/>
    </row>
    <row r="65" spans="1:3" ht="51" customHeight="1">
      <c r="A65" s="20"/>
      <c r="B65" s="20"/>
      <c r="C65" s="20"/>
    </row>
    <row r="66" spans="1:3" ht="51" customHeight="1">
      <c r="A66" s="20"/>
      <c r="B66" s="20"/>
      <c r="C66" s="20"/>
    </row>
    <row r="67" spans="1:3" ht="51" customHeight="1">
      <c r="A67" s="20"/>
      <c r="B67" s="20"/>
      <c r="C67" s="20"/>
    </row>
    <row r="68" spans="1:3" ht="51" customHeight="1">
      <c r="A68" s="20"/>
      <c r="B68" s="20"/>
      <c r="C68" s="20"/>
    </row>
    <row r="69" spans="1:3" ht="51" customHeight="1">
      <c r="A69" s="20"/>
      <c r="B69" s="20"/>
      <c r="C69" s="20"/>
    </row>
    <row r="70" spans="1:3" ht="51" customHeight="1">
      <c r="A70" s="20"/>
      <c r="B70" s="20"/>
      <c r="C70" s="20"/>
    </row>
    <row r="71" spans="1:3" ht="51" customHeight="1">
      <c r="A71" s="20"/>
      <c r="B71" s="20"/>
      <c r="C71" s="20"/>
    </row>
    <row r="72" spans="1:3" ht="51" customHeight="1">
      <c r="A72" s="20"/>
      <c r="B72" s="20"/>
      <c r="C72" s="20"/>
    </row>
    <row r="73" spans="1:3" ht="51" customHeight="1">
      <c r="A73" s="20"/>
      <c r="B73" s="20"/>
      <c r="C73" s="20"/>
    </row>
    <row r="74" spans="1:3" ht="51" customHeight="1">
      <c r="A74" s="20"/>
      <c r="B74" s="20"/>
      <c r="C74" s="20"/>
    </row>
    <row r="75" spans="1:3" ht="51" customHeight="1">
      <c r="A75" s="20"/>
      <c r="B75" s="20"/>
      <c r="C75" s="20"/>
    </row>
    <row r="76" spans="1:3" ht="51" customHeight="1">
      <c r="A76" s="20"/>
      <c r="B76" s="20"/>
      <c r="C76" s="20"/>
    </row>
    <row r="77" spans="1:3" ht="51" customHeight="1">
      <c r="A77" s="20"/>
      <c r="B77" s="20"/>
      <c r="C77" s="20"/>
    </row>
    <row r="78" spans="1:3" ht="51" customHeight="1">
      <c r="A78" s="20"/>
      <c r="B78" s="20"/>
      <c r="C78" s="20"/>
    </row>
    <row r="79" spans="1:3" ht="51" customHeight="1">
      <c r="A79" s="20"/>
      <c r="B79" s="20"/>
      <c r="C79" s="20"/>
    </row>
    <row r="80" spans="1:3" ht="51" customHeight="1">
      <c r="A80" s="20"/>
      <c r="B80" s="20"/>
      <c r="C80" s="20"/>
    </row>
    <row r="81" spans="1:3" ht="51" customHeight="1">
      <c r="A81" s="20"/>
      <c r="B81" s="20"/>
      <c r="C81" s="20"/>
    </row>
    <row r="82" spans="1:3" ht="51" customHeight="1">
      <c r="A82" s="20"/>
      <c r="B82" s="20"/>
      <c r="C82" s="20"/>
    </row>
    <row r="83" spans="1:3" ht="51" customHeight="1">
      <c r="A83" s="20"/>
      <c r="B83" s="20"/>
      <c r="C83" s="20"/>
    </row>
    <row r="84" spans="1:3" ht="51" customHeight="1">
      <c r="A84" s="20"/>
      <c r="B84" s="20"/>
      <c r="C84" s="20"/>
    </row>
    <row r="85" spans="1:3" ht="51" customHeight="1">
      <c r="A85" s="20"/>
      <c r="B85" s="20"/>
      <c r="C85" s="20"/>
    </row>
    <row r="86" spans="1:3" ht="51" customHeight="1">
      <c r="A86" s="20"/>
      <c r="B86" s="20"/>
      <c r="C86" s="20"/>
    </row>
    <row r="87" spans="1:3" ht="51" customHeight="1">
      <c r="A87" s="20"/>
      <c r="B87" s="20"/>
      <c r="C87" s="20"/>
    </row>
    <row r="88" spans="1:3" ht="51" customHeight="1">
      <c r="A88" s="20"/>
      <c r="B88" s="20"/>
      <c r="C88" s="20"/>
    </row>
    <row r="89" spans="1:3" ht="51" customHeight="1">
      <c r="A89" s="20"/>
      <c r="B89" s="20"/>
      <c r="C89" s="20"/>
    </row>
    <row r="90" spans="1:3" ht="51" customHeight="1">
      <c r="A90" s="20"/>
      <c r="B90" s="20"/>
      <c r="C90" s="20"/>
    </row>
    <row r="91" spans="1:3" ht="51" customHeight="1">
      <c r="A91" s="20"/>
      <c r="B91" s="20"/>
      <c r="C91" s="20"/>
    </row>
    <row r="92" spans="1:3" ht="51" customHeight="1">
      <c r="A92" s="20"/>
      <c r="B92" s="20"/>
      <c r="C92" s="20"/>
    </row>
    <row r="93" spans="1:3" ht="51" customHeight="1">
      <c r="A93" s="20"/>
      <c r="B93" s="20"/>
      <c r="C93" s="20"/>
    </row>
    <row r="94" spans="1:3" ht="51" customHeight="1">
      <c r="A94" s="20"/>
      <c r="B94" s="20"/>
      <c r="C94" s="20"/>
    </row>
    <row r="95" spans="1:3" ht="51" customHeight="1">
      <c r="A95" s="20"/>
      <c r="B95" s="20"/>
      <c r="C95" s="20"/>
    </row>
    <row r="96" spans="1:3" ht="51" customHeight="1">
      <c r="A96" s="20"/>
      <c r="B96" s="20"/>
      <c r="C96" s="20"/>
    </row>
    <row r="97" spans="1:3" ht="51" customHeight="1">
      <c r="A97" s="20"/>
      <c r="B97" s="20"/>
      <c r="C97" s="20"/>
    </row>
    <row r="98" spans="1:3" ht="51" customHeight="1">
      <c r="A98" s="20"/>
      <c r="B98" s="20"/>
      <c r="C98" s="20"/>
    </row>
    <row r="99" spans="1:3" ht="51" customHeight="1">
      <c r="A99" s="20"/>
      <c r="B99" s="20"/>
      <c r="C99" s="20"/>
    </row>
    <row r="100" spans="1:3" ht="51" customHeight="1">
      <c r="A100" s="20"/>
      <c r="B100" s="20"/>
      <c r="C100" s="20"/>
    </row>
    <row r="101" spans="1:3" ht="51" customHeight="1">
      <c r="A101" s="20"/>
      <c r="B101" s="20"/>
      <c r="C101" s="20"/>
    </row>
    <row r="102" spans="1:3" ht="51" customHeight="1">
      <c r="A102" s="20"/>
      <c r="B102" s="20"/>
      <c r="C102" s="20"/>
    </row>
    <row r="103" spans="1:3" ht="51" customHeight="1">
      <c r="A103" s="20"/>
      <c r="B103" s="20"/>
      <c r="C103" s="20"/>
    </row>
    <row r="104" spans="1:3" ht="51" customHeight="1">
      <c r="A104" s="20"/>
      <c r="B104" s="20"/>
      <c r="C104" s="20"/>
    </row>
    <row r="105" spans="1:3" ht="51" customHeight="1">
      <c r="A105" s="20"/>
      <c r="B105" s="20"/>
      <c r="C105" s="20"/>
    </row>
    <row r="106" spans="1:3" ht="51" customHeight="1">
      <c r="A106" s="20"/>
      <c r="B106" s="20"/>
      <c r="C106" s="20"/>
    </row>
    <row r="107" spans="1:3" ht="51" customHeight="1">
      <c r="A107" s="20"/>
      <c r="B107" s="20"/>
      <c r="C107" s="20"/>
    </row>
    <row r="108" spans="1:3" ht="51" customHeight="1">
      <c r="A108" s="20"/>
      <c r="B108" s="20"/>
      <c r="C108" s="20"/>
    </row>
    <row r="109" spans="1:3" ht="51" customHeight="1">
      <c r="A109" s="20"/>
      <c r="B109" s="20"/>
      <c r="C109" s="20"/>
    </row>
    <row r="110" spans="1:3" ht="51" customHeight="1">
      <c r="A110" s="20"/>
      <c r="B110" s="20"/>
      <c r="C110" s="20"/>
    </row>
    <row r="111" spans="1:3" ht="51" customHeight="1">
      <c r="A111" s="20"/>
      <c r="B111" s="20"/>
      <c r="C111" s="20"/>
    </row>
    <row r="112" spans="1:3" ht="51" customHeight="1">
      <c r="A112" s="20"/>
      <c r="B112" s="20"/>
      <c r="C112" s="20"/>
    </row>
    <row r="113" spans="1:3" ht="51" customHeight="1">
      <c r="A113" s="20"/>
      <c r="B113" s="20"/>
      <c r="C113" s="20"/>
    </row>
    <row r="114" spans="1:3" ht="51" customHeight="1">
      <c r="A114" s="20"/>
      <c r="B114" s="20"/>
      <c r="C114" s="20"/>
    </row>
    <row r="115" spans="1:3" ht="51" customHeight="1">
      <c r="A115" s="20"/>
      <c r="B115" s="20"/>
      <c r="C115" s="20"/>
    </row>
    <row r="116" spans="1:3" ht="51" customHeight="1">
      <c r="A116" s="20"/>
      <c r="B116" s="20"/>
      <c r="C116" s="20"/>
    </row>
    <row r="117" spans="1:3" ht="51" customHeight="1">
      <c r="A117" s="20"/>
      <c r="B117" s="20"/>
      <c r="C117" s="20"/>
    </row>
    <row r="118" spans="1:3" ht="51" customHeight="1">
      <c r="A118" s="20"/>
      <c r="B118" s="20"/>
      <c r="C118" s="20"/>
    </row>
    <row r="119" spans="1:3" ht="51" customHeight="1">
      <c r="A119" s="20"/>
      <c r="B119" s="20"/>
      <c r="C119" s="20"/>
    </row>
    <row r="120" spans="1:3" ht="51" customHeight="1">
      <c r="A120" s="20"/>
      <c r="B120" s="20"/>
      <c r="C120" s="20"/>
    </row>
    <row r="121" spans="1:3" ht="51" customHeight="1">
      <c r="A121" s="20"/>
      <c r="B121" s="20"/>
      <c r="C121" s="20"/>
    </row>
    <row r="122" spans="1:3" ht="51" customHeight="1">
      <c r="A122" s="20"/>
      <c r="B122" s="20"/>
      <c r="C122" s="20"/>
    </row>
    <row r="123" spans="1:3" ht="51" customHeight="1">
      <c r="A123" s="20"/>
      <c r="B123" s="20"/>
      <c r="C123" s="20"/>
    </row>
    <row r="124" spans="1:3" ht="51" customHeight="1">
      <c r="A124" s="20"/>
      <c r="B124" s="20"/>
      <c r="C124" s="20"/>
    </row>
    <row r="125" spans="1:3" ht="51" customHeight="1">
      <c r="A125" s="20"/>
      <c r="B125" s="20"/>
      <c r="C125" s="20"/>
    </row>
    <row r="126" spans="1:3" ht="51" customHeight="1">
      <c r="A126" s="20"/>
      <c r="B126" s="20"/>
      <c r="C126" s="20"/>
    </row>
    <row r="127" spans="1:3" ht="51" customHeight="1">
      <c r="A127" s="20"/>
      <c r="B127" s="20"/>
      <c r="C127" s="20"/>
    </row>
    <row r="128" spans="1:3" ht="51" customHeight="1">
      <c r="A128" s="20"/>
      <c r="B128" s="20"/>
      <c r="C128" s="20"/>
    </row>
    <row r="129" spans="1:3" ht="51" customHeight="1">
      <c r="A129" s="20"/>
      <c r="B129" s="20"/>
      <c r="C129" s="20"/>
    </row>
    <row r="130" spans="1:3" ht="51" customHeight="1">
      <c r="A130" s="20"/>
      <c r="B130" s="20"/>
      <c r="C130" s="20"/>
    </row>
    <row r="131" spans="1:3" ht="51" customHeight="1">
      <c r="A131" s="20"/>
      <c r="B131" s="20"/>
      <c r="C131" s="20"/>
    </row>
    <row r="132" spans="1:3" ht="51" customHeight="1">
      <c r="A132" s="20"/>
      <c r="B132" s="20"/>
      <c r="C132" s="20"/>
    </row>
    <row r="133" spans="1:3" ht="51" customHeight="1">
      <c r="A133" s="20"/>
      <c r="B133" s="20"/>
      <c r="C133" s="20"/>
    </row>
    <row r="134" spans="1:3" ht="51" customHeight="1">
      <c r="A134" s="20"/>
      <c r="B134" s="20"/>
      <c r="C134" s="20"/>
    </row>
    <row r="135" spans="1:3" ht="51" customHeight="1">
      <c r="A135" s="20"/>
      <c r="B135" s="20"/>
      <c r="C135" s="20"/>
    </row>
    <row r="136" spans="1:3" ht="51" customHeight="1">
      <c r="A136" s="20"/>
      <c r="B136" s="20"/>
      <c r="C136" s="20"/>
    </row>
    <row r="137" spans="1:3" ht="51" customHeight="1">
      <c r="A137" s="20"/>
      <c r="B137" s="20"/>
      <c r="C137" s="20"/>
    </row>
    <row r="138" spans="1:3" ht="51" customHeight="1">
      <c r="A138" s="20"/>
      <c r="B138" s="20"/>
      <c r="C138" s="20"/>
    </row>
    <row r="139" spans="1:3" ht="51" customHeight="1">
      <c r="A139" s="20"/>
      <c r="B139" s="20"/>
      <c r="C139" s="20"/>
    </row>
    <row r="140" spans="1:3" ht="51" customHeight="1">
      <c r="A140" s="20"/>
      <c r="B140" s="20"/>
      <c r="C140" s="20"/>
    </row>
    <row r="141" spans="1:3" ht="51" customHeight="1">
      <c r="A141" s="20"/>
      <c r="B141" s="20"/>
      <c r="C141" s="20"/>
    </row>
    <row r="142" spans="1:3" ht="51" customHeight="1">
      <c r="A142" s="20"/>
      <c r="B142" s="20"/>
      <c r="C142" s="20"/>
    </row>
    <row r="143" spans="1:3" ht="51" customHeight="1">
      <c r="A143" s="20"/>
      <c r="B143" s="20"/>
      <c r="C143" s="20"/>
    </row>
    <row r="144" spans="1:3" ht="51" customHeight="1">
      <c r="A144" s="20"/>
      <c r="B144" s="20"/>
      <c r="C144" s="20"/>
    </row>
    <row r="145" spans="1:3" ht="51" customHeight="1">
      <c r="A145" s="20"/>
      <c r="B145" s="20"/>
      <c r="C145" s="20"/>
    </row>
    <row r="146" spans="1:3" ht="51" customHeight="1">
      <c r="A146" s="20"/>
      <c r="B146" s="20"/>
      <c r="C146" s="20"/>
    </row>
    <row r="147" spans="1:3" ht="51" customHeight="1">
      <c r="A147" s="20"/>
      <c r="B147" s="20"/>
      <c r="C147" s="20"/>
    </row>
    <row r="148" spans="1:3" ht="51" customHeight="1">
      <c r="A148" s="20"/>
      <c r="B148" s="20"/>
      <c r="C148" s="20"/>
    </row>
    <row r="149" spans="1:3" ht="51" customHeight="1">
      <c r="A149" s="20"/>
      <c r="B149" s="20"/>
      <c r="C149" s="20"/>
    </row>
    <row r="150" spans="1:3" ht="51" customHeight="1">
      <c r="A150" s="20"/>
      <c r="B150" s="20"/>
      <c r="C150" s="20"/>
    </row>
    <row r="151" spans="1:3" ht="51" customHeight="1">
      <c r="A151" s="20"/>
      <c r="B151" s="20"/>
      <c r="C151" s="20"/>
    </row>
    <row r="152" spans="1:3" ht="51" customHeight="1">
      <c r="A152" s="20"/>
      <c r="B152" s="20"/>
      <c r="C152" s="20"/>
    </row>
    <row r="153" spans="1:3" ht="51" customHeight="1">
      <c r="A153" s="20"/>
      <c r="B153" s="20"/>
      <c r="C153" s="20"/>
    </row>
    <row r="154" spans="1:3" ht="51" customHeight="1">
      <c r="A154" s="20"/>
      <c r="B154" s="20"/>
      <c r="C154" s="20"/>
    </row>
    <row r="155" spans="1:3" ht="51" customHeight="1">
      <c r="A155" s="20"/>
      <c r="B155" s="20"/>
      <c r="C155" s="20"/>
    </row>
    <row r="156" spans="1:3" ht="51" customHeight="1">
      <c r="A156" s="20"/>
      <c r="B156" s="20"/>
      <c r="C156" s="20"/>
    </row>
    <row r="157" spans="1:3" ht="51" customHeight="1">
      <c r="A157" s="20"/>
      <c r="B157" s="20"/>
      <c r="C157" s="20"/>
    </row>
    <row r="158" spans="1:3" ht="51" customHeight="1">
      <c r="A158" s="20"/>
      <c r="B158" s="20"/>
      <c r="C158" s="20"/>
    </row>
    <row r="159" spans="1:3" ht="51" customHeight="1">
      <c r="A159" s="20"/>
      <c r="B159" s="20"/>
      <c r="C159" s="20"/>
    </row>
    <row r="160" spans="1:3" ht="51" customHeight="1">
      <c r="A160" s="20"/>
      <c r="B160" s="20"/>
      <c r="C160" s="20"/>
    </row>
    <row r="161" spans="1:3" ht="51" customHeight="1">
      <c r="A161" s="20"/>
      <c r="B161" s="20"/>
      <c r="C161" s="20"/>
    </row>
    <row r="162" spans="1:3" ht="51" customHeight="1">
      <c r="A162" s="20"/>
      <c r="B162" s="20"/>
      <c r="C162" s="20"/>
    </row>
    <row r="163" spans="1:3" ht="51" customHeight="1">
      <c r="A163" s="20"/>
      <c r="B163" s="20"/>
      <c r="C163" s="20"/>
    </row>
    <row r="164" spans="1:3" ht="51" customHeight="1">
      <c r="A164" s="20"/>
      <c r="B164" s="20"/>
      <c r="C164" s="20"/>
    </row>
    <row r="165" spans="1:3" ht="51" customHeight="1">
      <c r="A165" s="20"/>
      <c r="B165" s="20"/>
      <c r="C165" s="20"/>
    </row>
    <row r="166" spans="1:3" ht="51" customHeight="1">
      <c r="A166" s="20"/>
      <c r="B166" s="20"/>
      <c r="C166" s="20"/>
    </row>
    <row r="167" spans="1:3" ht="51" customHeight="1">
      <c r="A167" s="20"/>
      <c r="B167" s="20"/>
      <c r="C167" s="20"/>
    </row>
    <row r="168" spans="1:3" ht="51" customHeight="1">
      <c r="A168" s="20"/>
      <c r="B168" s="20"/>
      <c r="C168" s="20"/>
    </row>
    <row r="169" spans="1:3" ht="51" customHeight="1">
      <c r="A169" s="20"/>
      <c r="B169" s="20"/>
      <c r="C169" s="20"/>
    </row>
    <row r="170" spans="1:3" ht="51" customHeight="1">
      <c r="A170" s="20"/>
      <c r="B170" s="20"/>
      <c r="C170" s="20"/>
    </row>
    <row r="171" spans="1:3" ht="51" customHeight="1">
      <c r="A171" s="20"/>
      <c r="B171" s="20"/>
      <c r="C171" s="20"/>
    </row>
    <row r="172" spans="1:3" ht="51" customHeight="1">
      <c r="A172" s="20"/>
      <c r="B172" s="20"/>
      <c r="C172" s="20"/>
    </row>
    <row r="173" spans="1:3" ht="51" customHeight="1">
      <c r="A173" s="20"/>
      <c r="B173" s="20"/>
      <c r="C173" s="20"/>
    </row>
    <row r="174" spans="1:3" ht="51" customHeight="1">
      <c r="A174" s="20"/>
      <c r="B174" s="20"/>
      <c r="C174" s="20"/>
    </row>
    <row r="175" spans="1:3" ht="51" customHeight="1">
      <c r="A175" s="20"/>
      <c r="B175" s="20"/>
      <c r="C175" s="20"/>
    </row>
    <row r="176" spans="1:3" ht="51" customHeight="1">
      <c r="A176" s="20"/>
      <c r="B176" s="20"/>
      <c r="C176" s="20"/>
    </row>
    <row r="177" spans="1:3" ht="51" customHeight="1">
      <c r="A177" s="20"/>
      <c r="B177" s="20"/>
      <c r="C177" s="20"/>
    </row>
    <row r="178" spans="1:3" ht="51" customHeight="1">
      <c r="A178" s="20"/>
      <c r="B178" s="20"/>
      <c r="C178" s="20"/>
    </row>
    <row r="179" spans="1:3" ht="51" customHeight="1">
      <c r="A179" s="20"/>
      <c r="B179" s="20"/>
      <c r="C179" s="20"/>
    </row>
    <row r="180" spans="1:3" ht="51" customHeight="1">
      <c r="A180" s="20"/>
      <c r="B180" s="20"/>
      <c r="C180" s="20"/>
    </row>
    <row r="181" spans="1:3" ht="51" customHeight="1">
      <c r="A181" s="20"/>
      <c r="B181" s="20"/>
      <c r="C181" s="20"/>
    </row>
    <row r="182" spans="1:3" ht="51" customHeight="1">
      <c r="A182" s="20"/>
      <c r="B182" s="20"/>
      <c r="C182" s="20"/>
    </row>
    <row r="183" spans="1:3" ht="51" customHeight="1">
      <c r="A183" s="20"/>
      <c r="B183" s="20"/>
      <c r="C183" s="20"/>
    </row>
    <row r="184" spans="1:3" ht="51" customHeight="1">
      <c r="A184" s="20"/>
      <c r="B184" s="20"/>
      <c r="C184" s="20"/>
    </row>
    <row r="185" spans="1:3" ht="51" customHeight="1">
      <c r="A185" s="20"/>
      <c r="B185" s="20"/>
      <c r="C185" s="20"/>
    </row>
    <row r="186" spans="1:3" ht="51" customHeight="1">
      <c r="A186" s="20"/>
      <c r="B186" s="20"/>
      <c r="C186" s="20"/>
    </row>
    <row r="187" spans="1:3" ht="51" customHeight="1">
      <c r="A187" s="20"/>
      <c r="B187" s="20"/>
      <c r="C187" s="20"/>
    </row>
    <row r="188" spans="1:3" ht="51" customHeight="1">
      <c r="A188" s="20"/>
      <c r="B188" s="20"/>
      <c r="C188" s="20"/>
    </row>
    <row r="189" spans="1:3" ht="51" customHeight="1">
      <c r="A189" s="20"/>
      <c r="B189" s="20"/>
      <c r="C189" s="20"/>
    </row>
    <row r="190" spans="1:3" ht="51" customHeight="1">
      <c r="A190" s="20"/>
      <c r="B190" s="20"/>
      <c r="C190" s="20"/>
    </row>
    <row r="191" spans="1:3" ht="51" customHeight="1">
      <c r="A191" s="20"/>
      <c r="B191" s="20"/>
      <c r="C191" s="20"/>
    </row>
    <row r="192" spans="1:3" ht="51" customHeight="1">
      <c r="A192" s="20"/>
      <c r="B192" s="20"/>
      <c r="C192" s="20"/>
    </row>
    <row r="193" spans="1:3" ht="51" customHeight="1">
      <c r="A193" s="20"/>
      <c r="B193" s="20"/>
      <c r="C193" s="20"/>
    </row>
    <row r="194" spans="1:3" ht="51" customHeight="1">
      <c r="A194" s="20"/>
      <c r="B194" s="20"/>
      <c r="C194" s="20"/>
    </row>
    <row r="195" spans="1:3" ht="51" customHeight="1">
      <c r="A195" s="20"/>
      <c r="B195" s="20"/>
      <c r="C195" s="20"/>
    </row>
    <row r="196" spans="1:3" ht="51" customHeight="1">
      <c r="A196" s="20"/>
      <c r="B196" s="20"/>
      <c r="C196" s="20"/>
    </row>
    <row r="197" spans="1:3" ht="51" customHeight="1">
      <c r="A197" s="20"/>
      <c r="B197" s="20"/>
      <c r="C197" s="20"/>
    </row>
    <row r="198" spans="1:3" ht="51" customHeight="1">
      <c r="A198" s="20"/>
      <c r="B198" s="20"/>
      <c r="C198" s="20"/>
    </row>
    <row r="199" spans="1:3" ht="51" customHeight="1">
      <c r="A199" s="20"/>
      <c r="B199" s="20"/>
      <c r="C199" s="20"/>
    </row>
    <row r="200" spans="1:3" ht="51" customHeight="1">
      <c r="A200" s="20"/>
      <c r="B200" s="20"/>
      <c r="C200" s="20"/>
    </row>
    <row r="201" spans="1:3" ht="51" customHeight="1">
      <c r="A201" s="20"/>
      <c r="B201" s="20"/>
      <c r="C201" s="20"/>
    </row>
    <row r="202" spans="1:3" ht="51" customHeight="1">
      <c r="A202" s="20"/>
      <c r="B202" s="20"/>
      <c r="C202" s="20"/>
    </row>
    <row r="203" spans="1:3" ht="51" customHeight="1">
      <c r="A203" s="20"/>
      <c r="B203" s="20"/>
      <c r="C203" s="20"/>
    </row>
    <row r="204" spans="1:3" ht="51" customHeight="1">
      <c r="A204" s="20"/>
      <c r="B204" s="20"/>
      <c r="C204" s="20"/>
    </row>
    <row r="205" spans="1:3" ht="51" customHeight="1">
      <c r="A205" s="20"/>
      <c r="B205" s="20"/>
      <c r="C205" s="20"/>
    </row>
    <row r="206" spans="1:3" ht="51" customHeight="1">
      <c r="A206" s="20"/>
      <c r="B206" s="20"/>
      <c r="C206" s="20"/>
    </row>
    <row r="207" spans="1:3" ht="51" customHeight="1">
      <c r="A207" s="20"/>
      <c r="B207" s="20"/>
      <c r="C207" s="20"/>
    </row>
    <row r="208" spans="1:3" ht="51" customHeight="1">
      <c r="A208" s="20"/>
      <c r="B208" s="20"/>
      <c r="C208" s="20"/>
    </row>
    <row r="209" spans="1:3" ht="51" customHeight="1">
      <c r="A209" s="20"/>
      <c r="B209" s="20"/>
      <c r="C209" s="20"/>
    </row>
    <row r="210" spans="1:3" ht="51" customHeight="1">
      <c r="A210" s="20"/>
      <c r="B210" s="20"/>
      <c r="C210" s="20"/>
    </row>
    <row r="211" spans="1:3" ht="51" customHeight="1">
      <c r="A211" s="20"/>
      <c r="B211" s="20"/>
      <c r="C211" s="20"/>
    </row>
    <row r="212" spans="1:3" ht="51" customHeight="1">
      <c r="A212" s="20"/>
      <c r="B212" s="20"/>
      <c r="C212" s="20"/>
    </row>
    <row r="213" spans="1:3" ht="51" customHeight="1">
      <c r="A213" s="20"/>
      <c r="B213" s="20"/>
      <c r="C213" s="20"/>
    </row>
    <row r="214" spans="1:3" ht="51" customHeight="1">
      <c r="A214" s="20"/>
      <c r="B214" s="20"/>
      <c r="C214" s="20"/>
    </row>
    <row r="215" spans="1:3" ht="51" customHeight="1">
      <c r="A215" s="20"/>
      <c r="B215" s="20"/>
      <c r="C215" s="20"/>
    </row>
    <row r="216" spans="1:3" ht="51" customHeight="1">
      <c r="A216" s="20"/>
      <c r="B216" s="20"/>
      <c r="C216" s="20"/>
    </row>
    <row r="217" spans="1:3" ht="51" customHeight="1">
      <c r="A217" s="20"/>
      <c r="B217" s="20"/>
      <c r="C217" s="20"/>
    </row>
    <row r="218" spans="1:3" ht="51" customHeight="1">
      <c r="A218" s="20"/>
      <c r="B218" s="20"/>
      <c r="C218" s="20"/>
    </row>
    <row r="219" spans="1:3" ht="51" customHeight="1">
      <c r="A219" s="20"/>
      <c r="B219" s="20"/>
      <c r="C219" s="20"/>
    </row>
    <row r="220" spans="1:3" ht="51" customHeight="1">
      <c r="A220" s="20"/>
      <c r="B220" s="20"/>
      <c r="C220" s="20"/>
    </row>
    <row r="221" spans="1:3" ht="51" customHeight="1">
      <c r="A221" s="20"/>
      <c r="B221" s="20"/>
      <c r="C221" s="20"/>
    </row>
    <row r="222" spans="1:3" ht="51" customHeight="1">
      <c r="A222" s="20"/>
      <c r="B222" s="20"/>
      <c r="C222" s="20"/>
    </row>
    <row r="223" spans="1:3" ht="51" customHeight="1">
      <c r="A223" s="20"/>
      <c r="B223" s="20"/>
      <c r="C223" s="20"/>
    </row>
    <row r="224" spans="1:3" ht="51" customHeight="1">
      <c r="A224" s="20"/>
      <c r="B224" s="20"/>
      <c r="C224" s="20"/>
    </row>
    <row r="225" spans="1:3" ht="51" customHeight="1">
      <c r="A225" s="20"/>
      <c r="B225" s="20"/>
      <c r="C225" s="20"/>
    </row>
    <row r="226" spans="1:3" ht="51" customHeight="1">
      <c r="A226" s="20"/>
      <c r="B226" s="20"/>
      <c r="C226" s="20"/>
    </row>
    <row r="227" spans="1:3" ht="51" customHeight="1">
      <c r="A227" s="20"/>
      <c r="B227" s="20"/>
      <c r="C227" s="20"/>
    </row>
    <row r="228" spans="1:3" ht="51" customHeight="1">
      <c r="A228" s="20"/>
      <c r="B228" s="20"/>
      <c r="C228" s="20"/>
    </row>
    <row r="229" spans="1:3" ht="51" customHeight="1">
      <c r="A229" s="20"/>
      <c r="B229" s="20"/>
      <c r="C229" s="20"/>
    </row>
    <row r="230" spans="1:3" ht="51" customHeight="1">
      <c r="A230" s="20"/>
      <c r="B230" s="20"/>
      <c r="C230" s="20"/>
    </row>
    <row r="231" spans="1:3" ht="51" customHeight="1">
      <c r="A231" s="20"/>
      <c r="B231" s="20"/>
      <c r="C231" s="20"/>
    </row>
    <row r="232" spans="1:3" ht="51" customHeight="1">
      <c r="A232" s="20"/>
      <c r="B232" s="20"/>
      <c r="C232" s="20"/>
    </row>
    <row r="233" spans="1:3" ht="51" customHeight="1">
      <c r="A233" s="20"/>
      <c r="B233" s="20"/>
      <c r="C233" s="20"/>
    </row>
    <row r="234" spans="1:3" ht="51" customHeight="1">
      <c r="A234" s="20"/>
      <c r="B234" s="20"/>
      <c r="C234" s="20"/>
    </row>
    <row r="235" spans="1:3" ht="51" customHeight="1">
      <c r="A235" s="20"/>
      <c r="B235" s="20"/>
      <c r="C235" s="20"/>
    </row>
    <row r="236" spans="1:3" ht="51" customHeight="1">
      <c r="A236" s="20"/>
      <c r="B236" s="20"/>
      <c r="C236" s="20"/>
    </row>
    <row r="237" spans="1:3" ht="51" customHeight="1">
      <c r="A237" s="20"/>
      <c r="B237" s="20"/>
      <c r="C237" s="20"/>
    </row>
    <row r="238" spans="1:3" ht="51" customHeight="1">
      <c r="A238" s="20"/>
      <c r="B238" s="20"/>
      <c r="C238" s="20"/>
    </row>
    <row r="239" spans="1:3" ht="51" customHeight="1">
      <c r="A239" s="20"/>
      <c r="B239" s="20"/>
      <c r="C239" s="20"/>
    </row>
    <row r="240" spans="1:3" ht="51" customHeight="1">
      <c r="A240" s="20"/>
      <c r="B240" s="20"/>
      <c r="C240" s="20"/>
    </row>
    <row r="241" spans="1:3" ht="51" customHeight="1">
      <c r="A241" s="20"/>
      <c r="B241" s="20"/>
      <c r="C241" s="20"/>
    </row>
    <row r="242" spans="1:3" ht="51" customHeight="1">
      <c r="A242" s="20"/>
      <c r="B242" s="20"/>
      <c r="C242" s="20"/>
    </row>
    <row r="243" spans="1:3" ht="51" customHeight="1">
      <c r="A243" s="20"/>
      <c r="B243" s="20"/>
      <c r="C243" s="20"/>
    </row>
    <row r="244" spans="1:3" ht="51" customHeight="1">
      <c r="A244" s="20"/>
      <c r="B244" s="20"/>
      <c r="C244" s="20"/>
    </row>
    <row r="245" spans="1:3" ht="51" customHeight="1">
      <c r="A245" s="20"/>
      <c r="B245" s="20"/>
      <c r="C245" s="20"/>
    </row>
    <row r="246" spans="1:3" ht="51" customHeight="1">
      <c r="A246" s="20"/>
      <c r="B246" s="20"/>
      <c r="C246" s="20"/>
    </row>
    <row r="247" spans="1:3" ht="51" customHeight="1">
      <c r="A247" s="20"/>
      <c r="B247" s="20"/>
      <c r="C247" s="20"/>
    </row>
    <row r="248" spans="1:3" ht="51" customHeight="1">
      <c r="A248" s="20"/>
      <c r="B248" s="20"/>
      <c r="C248" s="20"/>
    </row>
    <row r="249" spans="1:3" ht="51" customHeight="1">
      <c r="A249" s="20"/>
      <c r="B249" s="20"/>
      <c r="C249" s="20"/>
    </row>
    <row r="250" spans="1:3" ht="51" customHeight="1">
      <c r="A250" s="20"/>
      <c r="B250" s="20"/>
      <c r="C250" s="20"/>
    </row>
    <row r="251" spans="1:3" ht="51" customHeight="1">
      <c r="A251" s="20"/>
      <c r="B251" s="20"/>
      <c r="C251" s="20"/>
    </row>
    <row r="252" spans="1:3" ht="51" customHeight="1">
      <c r="A252" s="20"/>
      <c r="B252" s="20"/>
      <c r="C252" s="20"/>
    </row>
    <row r="253" spans="1:3" ht="51" customHeight="1">
      <c r="A253" s="20"/>
      <c r="B253" s="20"/>
      <c r="C253" s="20"/>
    </row>
    <row r="254" spans="1:3" ht="51" customHeight="1">
      <c r="A254" s="20"/>
      <c r="B254" s="20"/>
      <c r="C254" s="20"/>
    </row>
    <row r="255" spans="1:3" ht="51" customHeight="1">
      <c r="A255" s="20"/>
      <c r="B255" s="20"/>
      <c r="C255" s="20"/>
    </row>
    <row r="256" spans="1:3" ht="51" customHeight="1">
      <c r="A256" s="20"/>
      <c r="B256" s="20"/>
      <c r="C256" s="20"/>
    </row>
    <row r="257" spans="1:3" ht="51" customHeight="1">
      <c r="A257" s="20"/>
      <c r="B257" s="20"/>
      <c r="C257" s="20"/>
    </row>
    <row r="258" spans="1:3" ht="51" customHeight="1">
      <c r="A258" s="20"/>
      <c r="B258" s="20"/>
      <c r="C258" s="20"/>
    </row>
    <row r="259" spans="1:3" ht="51" customHeight="1">
      <c r="A259" s="20"/>
      <c r="B259" s="20"/>
      <c r="C259" s="20"/>
    </row>
    <row r="260" spans="1:3" ht="51" customHeight="1">
      <c r="A260" s="20"/>
      <c r="B260" s="20"/>
      <c r="C260" s="20"/>
    </row>
    <row r="261" spans="1:3" ht="51" customHeight="1">
      <c r="A261" s="20"/>
      <c r="B261" s="20"/>
      <c r="C261" s="20"/>
    </row>
    <row r="262" spans="1:3" ht="51" customHeight="1">
      <c r="A262" s="20"/>
      <c r="B262" s="20"/>
      <c r="C262" s="20"/>
    </row>
    <row r="263" spans="1:3" ht="51" customHeight="1">
      <c r="A263" s="20"/>
      <c r="B263" s="20"/>
      <c r="C263" s="20"/>
    </row>
    <row r="264" spans="1:3" ht="51" customHeight="1">
      <c r="A264" s="20"/>
      <c r="B264" s="20"/>
      <c r="C264" s="20"/>
    </row>
    <row r="265" spans="1:3" ht="51" customHeight="1">
      <c r="A265" s="20"/>
      <c r="B265" s="20"/>
      <c r="C265" s="20"/>
    </row>
    <row r="266" spans="1:3" ht="51" customHeight="1">
      <c r="A266" s="20"/>
      <c r="B266" s="20"/>
      <c r="C266" s="20"/>
    </row>
    <row r="267" spans="1:3" ht="51" customHeight="1">
      <c r="A267" s="20"/>
      <c r="B267" s="20"/>
      <c r="C267" s="20"/>
    </row>
    <row r="268" spans="1:3" ht="51" customHeight="1">
      <c r="A268" s="20"/>
      <c r="B268" s="20"/>
      <c r="C268" s="20"/>
    </row>
    <row r="269" spans="1:3" ht="51" customHeight="1">
      <c r="A269" s="20"/>
      <c r="B269" s="20"/>
      <c r="C269" s="20"/>
    </row>
    <row r="270" spans="1:3" ht="51" customHeight="1">
      <c r="A270" s="20"/>
      <c r="B270" s="20"/>
      <c r="C270" s="20"/>
    </row>
    <row r="271" spans="1:3" ht="51" customHeight="1">
      <c r="A271" s="20"/>
      <c r="B271" s="20"/>
      <c r="C271" s="20"/>
    </row>
    <row r="272" spans="1:3" ht="51" customHeight="1">
      <c r="A272" s="20"/>
      <c r="B272" s="20"/>
      <c r="C272" s="20"/>
    </row>
    <row r="273" spans="1:3" ht="51" customHeight="1">
      <c r="A273" s="20"/>
      <c r="B273" s="20"/>
      <c r="C273" s="20"/>
    </row>
    <row r="274" spans="1:3" ht="51" customHeight="1">
      <c r="A274" s="20"/>
      <c r="B274" s="20"/>
      <c r="C274" s="20"/>
    </row>
    <row r="275" spans="1:3" ht="51" customHeight="1">
      <c r="A275" s="20"/>
      <c r="B275" s="20"/>
      <c r="C275" s="20"/>
    </row>
    <row r="276" spans="1:3" ht="51" customHeight="1">
      <c r="A276" s="20"/>
      <c r="B276" s="20"/>
      <c r="C276" s="20"/>
    </row>
    <row r="277" spans="1:3" ht="51" customHeight="1">
      <c r="A277" s="20"/>
      <c r="B277" s="20"/>
      <c r="C277" s="20"/>
    </row>
    <row r="278" spans="1:3" ht="51" customHeight="1">
      <c r="A278" s="20"/>
      <c r="B278" s="20"/>
      <c r="C278" s="20"/>
    </row>
    <row r="279" spans="1:3" ht="51" customHeight="1">
      <c r="A279" s="20"/>
      <c r="B279" s="20"/>
      <c r="C279" s="20"/>
    </row>
    <row r="280" spans="1:3" ht="51" customHeight="1">
      <c r="A280" s="20"/>
      <c r="B280" s="20"/>
      <c r="C280" s="20"/>
    </row>
    <row r="281" spans="1:3" ht="51" customHeight="1">
      <c r="A281" s="20"/>
      <c r="B281" s="20"/>
      <c r="C281" s="20"/>
    </row>
    <row r="282" spans="1:3" ht="51" customHeight="1">
      <c r="A282" s="20"/>
      <c r="B282" s="20"/>
      <c r="C282" s="20"/>
    </row>
    <row r="283" spans="1:3" ht="51" customHeight="1">
      <c r="A283" s="20"/>
      <c r="B283" s="20"/>
      <c r="C283" s="20"/>
    </row>
    <row r="284" spans="1:3" ht="51" customHeight="1">
      <c r="A284" s="20"/>
      <c r="B284" s="20"/>
      <c r="C284" s="20"/>
    </row>
    <row r="285" spans="1:3" ht="51" customHeight="1">
      <c r="A285" s="20"/>
      <c r="B285" s="20"/>
      <c r="C285" s="20"/>
    </row>
    <row r="286" spans="1:3" ht="51" customHeight="1">
      <c r="A286" s="20"/>
      <c r="B286" s="20"/>
      <c r="C286" s="20"/>
    </row>
    <row r="287" spans="1:3" ht="51" customHeight="1">
      <c r="A287" s="20"/>
      <c r="B287" s="20"/>
      <c r="C287" s="20"/>
    </row>
    <row r="288" spans="1:3" ht="51" customHeight="1">
      <c r="A288" s="20"/>
      <c r="B288" s="20"/>
      <c r="C288" s="20"/>
    </row>
    <row r="289" spans="1:3" ht="51" customHeight="1">
      <c r="A289" s="20"/>
      <c r="B289" s="20"/>
      <c r="C289" s="20"/>
    </row>
    <row r="290" spans="1:3" ht="51" customHeight="1">
      <c r="A290" s="20"/>
      <c r="B290" s="20"/>
      <c r="C290" s="20"/>
    </row>
    <row r="291" spans="1:3" ht="51" customHeight="1">
      <c r="A291" s="20"/>
      <c r="B291" s="20"/>
      <c r="C291" s="20"/>
    </row>
    <row r="292" spans="1:3" ht="51" customHeight="1">
      <c r="A292" s="20"/>
      <c r="B292" s="20"/>
      <c r="C292" s="20"/>
    </row>
    <row r="293" spans="1:3" ht="51" customHeight="1">
      <c r="A293" s="20"/>
      <c r="B293" s="20"/>
      <c r="C293" s="20"/>
    </row>
    <row r="294" spans="1:3" ht="51" customHeight="1">
      <c r="A294" s="20"/>
      <c r="B294" s="20"/>
      <c r="C294" s="20"/>
    </row>
    <row r="295" spans="1:3" ht="51" customHeight="1">
      <c r="A295" s="20"/>
      <c r="B295" s="20"/>
      <c r="C295" s="20"/>
    </row>
    <row r="296" spans="1:3" ht="51" customHeight="1">
      <c r="A296" s="20"/>
      <c r="B296" s="20"/>
      <c r="C296" s="20"/>
    </row>
    <row r="297" spans="1:3" ht="51" customHeight="1">
      <c r="A297" s="20"/>
      <c r="B297" s="20"/>
      <c r="C297" s="20"/>
    </row>
    <row r="298" spans="1:3" ht="51" customHeight="1">
      <c r="A298" s="20"/>
      <c r="B298" s="20"/>
      <c r="C298" s="20"/>
    </row>
    <row r="299" spans="1:3" ht="51" customHeight="1">
      <c r="A299" s="20"/>
      <c r="B299" s="20"/>
      <c r="C299" s="20"/>
    </row>
    <row r="300" spans="1:3" ht="51" customHeight="1">
      <c r="A300" s="20"/>
      <c r="B300" s="20"/>
      <c r="C300" s="20"/>
    </row>
    <row r="301" spans="1:3" ht="51" customHeight="1">
      <c r="A301" s="20"/>
      <c r="B301" s="20"/>
      <c r="C301" s="20"/>
    </row>
    <row r="302" spans="1:3" ht="51" customHeight="1">
      <c r="A302" s="20"/>
      <c r="B302" s="20"/>
      <c r="C302" s="20"/>
    </row>
    <row r="303" spans="1:3" ht="51" customHeight="1">
      <c r="A303" s="20"/>
      <c r="B303" s="20"/>
      <c r="C303" s="20"/>
    </row>
    <row r="304" spans="1:3" ht="51" customHeight="1">
      <c r="A304" s="20"/>
      <c r="B304" s="20"/>
      <c r="C304" s="20"/>
    </row>
    <row r="305" spans="1:3" ht="51" customHeight="1">
      <c r="A305" s="20"/>
      <c r="B305" s="20"/>
      <c r="C305" s="20"/>
    </row>
    <row r="306" spans="1:3" ht="51" customHeight="1">
      <c r="A306" s="20"/>
      <c r="B306" s="20"/>
      <c r="C306" s="20"/>
    </row>
    <row r="307" spans="1:3" ht="51" customHeight="1">
      <c r="A307" s="20"/>
      <c r="B307" s="20"/>
      <c r="C307" s="20"/>
    </row>
    <row r="308" spans="1:3" ht="51" customHeight="1">
      <c r="A308" s="20"/>
      <c r="B308" s="20"/>
      <c r="C308" s="20"/>
    </row>
    <row r="309" spans="1:3" ht="51" customHeight="1">
      <c r="A309" s="20"/>
      <c r="B309" s="20"/>
      <c r="C309" s="20"/>
    </row>
    <row r="310" spans="1:3" ht="51" customHeight="1">
      <c r="A310" s="20"/>
      <c r="B310" s="20"/>
      <c r="C310" s="20"/>
    </row>
    <row r="311" spans="1:3" ht="51" customHeight="1">
      <c r="A311" s="20"/>
      <c r="B311" s="20"/>
      <c r="C311" s="20"/>
    </row>
    <row r="312" spans="1:3" ht="51" customHeight="1">
      <c r="A312" s="20"/>
      <c r="B312" s="20"/>
      <c r="C312" s="20"/>
    </row>
    <row r="313" spans="1:3" ht="51" customHeight="1">
      <c r="A313" s="20"/>
      <c r="B313" s="20"/>
      <c r="C313" s="20"/>
    </row>
    <row r="314" spans="1:3" ht="51" customHeight="1">
      <c r="A314" s="20"/>
      <c r="B314" s="20"/>
      <c r="C314" s="20"/>
    </row>
    <row r="315" spans="1:3" ht="51" customHeight="1">
      <c r="A315" s="20"/>
      <c r="B315" s="20"/>
      <c r="C315" s="20"/>
    </row>
    <row r="316" spans="1:3" ht="51" customHeight="1">
      <c r="A316" s="20"/>
      <c r="B316" s="20"/>
      <c r="C316" s="20"/>
    </row>
    <row r="317" spans="1:3" ht="51" customHeight="1">
      <c r="A317" s="20"/>
      <c r="B317" s="20"/>
      <c r="C317" s="20"/>
    </row>
    <row r="318" spans="1:3" ht="51" customHeight="1">
      <c r="A318" s="20"/>
      <c r="B318" s="20"/>
      <c r="C318" s="20"/>
    </row>
    <row r="319" spans="1:3" ht="51" customHeight="1">
      <c r="A319" s="20"/>
      <c r="B319" s="20"/>
      <c r="C319" s="20"/>
    </row>
    <row r="320" spans="1:3" ht="51" customHeight="1">
      <c r="A320" s="20"/>
      <c r="B320" s="20"/>
      <c r="C320" s="20"/>
    </row>
    <row r="321" spans="1:3" ht="51" customHeight="1">
      <c r="A321" s="20"/>
      <c r="B321" s="20"/>
      <c r="C321" s="20"/>
    </row>
    <row r="322" spans="1:3" ht="51" customHeight="1">
      <c r="A322" s="20"/>
      <c r="B322" s="20"/>
      <c r="C322" s="20"/>
    </row>
    <row r="323" spans="1:3" ht="51" customHeight="1">
      <c r="A323" s="20"/>
      <c r="B323" s="20"/>
      <c r="C323" s="20"/>
    </row>
    <row r="324" spans="1:3" ht="51" customHeight="1">
      <c r="A324" s="20"/>
      <c r="B324" s="20"/>
      <c r="C324" s="20"/>
    </row>
    <row r="325" spans="1:3" ht="51" customHeight="1">
      <c r="A325" s="20"/>
      <c r="B325" s="20"/>
      <c r="C325" s="20"/>
    </row>
    <row r="326" spans="1:3" ht="51" customHeight="1">
      <c r="A326" s="20"/>
      <c r="B326" s="20"/>
      <c r="C326" s="20"/>
    </row>
    <row r="327" spans="1:3" ht="51" customHeight="1">
      <c r="A327" s="20"/>
      <c r="B327" s="20"/>
      <c r="C327" s="20"/>
    </row>
    <row r="328" spans="1:3" ht="51" customHeight="1">
      <c r="A328" s="20"/>
      <c r="B328" s="20"/>
      <c r="C328" s="20"/>
    </row>
    <row r="329" spans="1:3" ht="51" customHeight="1">
      <c r="A329" s="20"/>
      <c r="B329" s="20"/>
      <c r="C329" s="20"/>
    </row>
    <row r="330" spans="1:3" ht="51" customHeight="1">
      <c r="A330" s="20"/>
      <c r="B330" s="20"/>
      <c r="C330" s="20"/>
    </row>
    <row r="331" spans="1:3" ht="51" customHeight="1">
      <c r="A331" s="20"/>
      <c r="B331" s="20"/>
      <c r="C331" s="20"/>
    </row>
    <row r="332" spans="1:3" ht="51" customHeight="1">
      <c r="A332" s="20"/>
      <c r="B332" s="20"/>
      <c r="C332" s="20"/>
    </row>
    <row r="333" spans="1:3" ht="51" customHeight="1">
      <c r="A333" s="20"/>
      <c r="B333" s="20"/>
      <c r="C333" s="20"/>
    </row>
    <row r="334" spans="1:3" ht="51" customHeight="1">
      <c r="A334" s="20"/>
      <c r="B334" s="20"/>
      <c r="C334" s="20"/>
    </row>
    <row r="335" spans="1:3" ht="51" customHeight="1">
      <c r="A335" s="20"/>
      <c r="B335" s="20"/>
      <c r="C335" s="20"/>
    </row>
    <row r="336" spans="1:3" ht="51" customHeight="1">
      <c r="A336" s="20"/>
      <c r="B336" s="20"/>
      <c r="C336" s="20"/>
    </row>
    <row r="337" spans="1:3" ht="51" customHeight="1">
      <c r="A337" s="20"/>
      <c r="B337" s="20"/>
      <c r="C337" s="20"/>
    </row>
    <row r="338" spans="1:3" ht="51" customHeight="1">
      <c r="A338" s="20"/>
      <c r="B338" s="20"/>
      <c r="C338" s="20"/>
    </row>
    <row r="339" spans="1:3" ht="51" customHeight="1">
      <c r="A339" s="20"/>
      <c r="B339" s="20"/>
      <c r="C339" s="20"/>
    </row>
    <row r="340" spans="1:3" ht="51" customHeight="1">
      <c r="A340" s="20"/>
      <c r="B340" s="20"/>
      <c r="C340" s="20"/>
    </row>
    <row r="341" spans="1:3" ht="51" customHeight="1">
      <c r="A341" s="20"/>
      <c r="B341" s="20"/>
      <c r="C341" s="20"/>
    </row>
    <row r="342" spans="1:3" ht="51" customHeight="1">
      <c r="A342" s="20"/>
      <c r="B342" s="20"/>
      <c r="C342" s="20"/>
    </row>
    <row r="343" spans="1:3" ht="51" customHeight="1">
      <c r="A343" s="20"/>
      <c r="B343" s="20"/>
      <c r="C343" s="20"/>
    </row>
    <row r="344" spans="1:3" ht="51" customHeight="1">
      <c r="A344" s="20"/>
      <c r="B344" s="20"/>
      <c r="C344" s="20"/>
    </row>
    <row r="345" spans="1:3" ht="51" customHeight="1">
      <c r="A345" s="20"/>
      <c r="B345" s="20"/>
      <c r="C345" s="20"/>
    </row>
    <row r="346" spans="1:3" ht="51" customHeight="1">
      <c r="A346" s="20"/>
      <c r="B346" s="20"/>
      <c r="C346" s="20"/>
    </row>
    <row r="347" spans="1:3" ht="51" customHeight="1">
      <c r="A347" s="20"/>
      <c r="B347" s="20"/>
      <c r="C347" s="20"/>
    </row>
    <row r="348" spans="1:3" ht="51" customHeight="1">
      <c r="A348" s="20"/>
      <c r="B348" s="20"/>
      <c r="C348" s="20"/>
    </row>
    <row r="349" spans="1:3" ht="51" customHeight="1">
      <c r="A349" s="20"/>
      <c r="B349" s="20"/>
      <c r="C349" s="20"/>
    </row>
    <row r="350" spans="1:3" ht="51" customHeight="1">
      <c r="A350" s="20"/>
      <c r="B350" s="20"/>
      <c r="C350" s="20"/>
    </row>
    <row r="351" spans="1:3" ht="51" customHeight="1">
      <c r="A351" s="20"/>
      <c r="B351" s="20"/>
      <c r="C351" s="20"/>
    </row>
    <row r="352" spans="1:3" ht="51" customHeight="1">
      <c r="A352" s="20"/>
      <c r="B352" s="20"/>
      <c r="C352" s="20"/>
    </row>
    <row r="353" spans="1:3" ht="51" customHeight="1">
      <c r="A353" s="20"/>
      <c r="B353" s="20"/>
      <c r="C353" s="20"/>
    </row>
    <row r="354" spans="1:3" ht="51" customHeight="1">
      <c r="A354" s="20"/>
      <c r="B354" s="20"/>
      <c r="C354" s="20"/>
    </row>
    <row r="355" spans="1:3" ht="51" customHeight="1">
      <c r="A355" s="20"/>
      <c r="B355" s="20"/>
      <c r="C355" s="20"/>
    </row>
    <row r="356" spans="1:3" ht="51" customHeight="1">
      <c r="A356" s="20"/>
      <c r="B356" s="20"/>
      <c r="C356" s="20"/>
    </row>
    <row r="357" spans="1:3" ht="51" customHeight="1">
      <c r="A357" s="20"/>
      <c r="B357" s="20"/>
      <c r="C357" s="20"/>
    </row>
    <row r="358" spans="1:3" ht="51" customHeight="1">
      <c r="A358" s="20"/>
      <c r="B358" s="20"/>
      <c r="C358" s="20"/>
    </row>
    <row r="359" spans="1:3" ht="51" customHeight="1">
      <c r="A359" s="20"/>
      <c r="B359" s="20"/>
      <c r="C359" s="20"/>
    </row>
    <row r="360" spans="1:3" ht="51" customHeight="1">
      <c r="A360" s="20"/>
      <c r="B360" s="20"/>
      <c r="C360" s="20"/>
    </row>
    <row r="361" spans="1:3" ht="51" customHeight="1">
      <c r="A361" s="20"/>
      <c r="B361" s="20"/>
      <c r="C361" s="20"/>
    </row>
    <row r="362" spans="1:3" ht="51" customHeight="1">
      <c r="A362" s="20"/>
      <c r="B362" s="20"/>
      <c r="C362" s="20"/>
    </row>
    <row r="363" spans="1:3" ht="51" customHeight="1">
      <c r="A363" s="20"/>
      <c r="B363" s="20"/>
      <c r="C363" s="20"/>
    </row>
    <row r="364" spans="1:3" ht="51" customHeight="1">
      <c r="A364" s="20"/>
      <c r="B364" s="20"/>
      <c r="C364" s="20"/>
    </row>
    <row r="365" spans="1:3" ht="51" customHeight="1">
      <c r="A365" s="20"/>
      <c r="B365" s="20"/>
      <c r="C365" s="20"/>
    </row>
    <row r="366" spans="1:3" ht="51" customHeight="1">
      <c r="A366" s="20"/>
      <c r="B366" s="20"/>
      <c r="C366" s="20"/>
    </row>
    <row r="367" spans="1:3" ht="51" customHeight="1">
      <c r="A367" s="20"/>
      <c r="B367" s="20"/>
      <c r="C367" s="20"/>
    </row>
    <row r="368" spans="1:3" ht="51" customHeight="1">
      <c r="A368" s="20"/>
      <c r="B368" s="20"/>
      <c r="C368" s="20"/>
    </row>
    <row r="369" spans="1:3" ht="51" customHeight="1">
      <c r="A369" s="20"/>
      <c r="B369" s="20"/>
      <c r="C369" s="20"/>
    </row>
    <row r="370" spans="1:3" ht="51" customHeight="1">
      <c r="A370" s="20"/>
      <c r="B370" s="20"/>
      <c r="C370" s="20"/>
    </row>
    <row r="371" spans="1:3" ht="51" customHeight="1">
      <c r="A371" s="20"/>
      <c r="B371" s="20"/>
      <c r="C371" s="20"/>
    </row>
    <row r="372" spans="1:3" ht="51" customHeight="1">
      <c r="A372" s="20"/>
      <c r="B372" s="20"/>
      <c r="C372" s="20"/>
    </row>
    <row r="373" spans="1:3" ht="51" customHeight="1">
      <c r="A373" s="20"/>
      <c r="B373" s="20"/>
      <c r="C373" s="20"/>
    </row>
    <row r="374" spans="1:3" ht="51" customHeight="1">
      <c r="A374" s="20"/>
      <c r="B374" s="20"/>
      <c r="C374" s="20"/>
    </row>
    <row r="375" spans="1:3" ht="51" customHeight="1">
      <c r="A375" s="20"/>
      <c r="B375" s="20"/>
      <c r="C375" s="20"/>
    </row>
    <row r="376" spans="1:3" ht="51" customHeight="1">
      <c r="A376" s="20"/>
      <c r="B376" s="20"/>
      <c r="C376" s="20"/>
    </row>
    <row r="377" spans="1:3" ht="51" customHeight="1">
      <c r="A377" s="20"/>
      <c r="B377" s="20"/>
      <c r="C377" s="20"/>
    </row>
    <row r="378" spans="1:3" ht="51" customHeight="1">
      <c r="A378" s="20"/>
      <c r="B378" s="20"/>
      <c r="C378" s="20"/>
    </row>
    <row r="379" spans="1:3" ht="51" customHeight="1">
      <c r="A379" s="20"/>
      <c r="B379" s="20"/>
      <c r="C379" s="20"/>
    </row>
    <row r="380" spans="1:3" ht="51" customHeight="1">
      <c r="A380" s="20"/>
      <c r="B380" s="20"/>
      <c r="C380" s="20"/>
    </row>
    <row r="381" spans="1:3" ht="51" customHeight="1">
      <c r="A381" s="20"/>
      <c r="B381" s="20"/>
      <c r="C381" s="20"/>
    </row>
    <row r="382" spans="1:3" ht="51" customHeight="1">
      <c r="A382" s="20"/>
      <c r="B382" s="20"/>
      <c r="C382" s="20"/>
    </row>
    <row r="383" spans="1:3" ht="51" customHeight="1">
      <c r="A383" s="20"/>
      <c r="B383" s="20"/>
      <c r="C383" s="20"/>
    </row>
    <row r="384" spans="1:3" ht="51" customHeight="1">
      <c r="A384" s="20"/>
      <c r="B384" s="20"/>
      <c r="C384" s="20"/>
    </row>
    <row r="385" spans="1:3" ht="51" customHeight="1">
      <c r="A385" s="20"/>
      <c r="B385" s="20"/>
      <c r="C385" s="20"/>
    </row>
    <row r="386" spans="1:3" ht="51" customHeight="1">
      <c r="A386" s="20"/>
      <c r="B386" s="20"/>
      <c r="C386" s="20"/>
    </row>
    <row r="387" spans="1:3" ht="51" customHeight="1">
      <c r="A387" s="20"/>
      <c r="B387" s="20"/>
      <c r="C387" s="20"/>
    </row>
    <row r="388" spans="1:3" ht="51" customHeight="1">
      <c r="A388" s="20"/>
      <c r="B388" s="20"/>
      <c r="C388" s="20"/>
    </row>
    <row r="389" spans="1:3" ht="51" customHeight="1">
      <c r="A389" s="20"/>
      <c r="B389" s="20"/>
      <c r="C389" s="20"/>
    </row>
    <row r="390" spans="1:3" ht="51" customHeight="1">
      <c r="A390" s="20"/>
      <c r="B390" s="20"/>
      <c r="C390" s="20"/>
    </row>
    <row r="391" spans="1:3" ht="51" customHeight="1">
      <c r="A391" s="20"/>
      <c r="B391" s="20"/>
      <c r="C391" s="20"/>
    </row>
    <row r="392" spans="1:3" ht="51" customHeight="1">
      <c r="A392" s="20"/>
      <c r="B392" s="20"/>
      <c r="C392" s="20"/>
    </row>
    <row r="393" spans="1:3" ht="51" customHeight="1">
      <c r="A393" s="20"/>
      <c r="B393" s="20"/>
      <c r="C393" s="20"/>
    </row>
    <row r="394" spans="1:3" ht="51" customHeight="1">
      <c r="A394" s="20"/>
      <c r="B394" s="20"/>
      <c r="C394" s="20"/>
    </row>
    <row r="395" spans="1:3" ht="51" customHeight="1">
      <c r="A395" s="20"/>
      <c r="B395" s="20"/>
      <c r="C395" s="20"/>
    </row>
    <row r="396" spans="1:3" ht="51" customHeight="1">
      <c r="A396" s="20"/>
      <c r="B396" s="20"/>
      <c r="C396" s="20"/>
    </row>
    <row r="397" spans="1:3" ht="51" customHeight="1">
      <c r="A397" s="20"/>
      <c r="B397" s="20"/>
      <c r="C397" s="20"/>
    </row>
    <row r="398" spans="1:3" ht="51" customHeight="1">
      <c r="A398" s="20"/>
      <c r="B398" s="20"/>
      <c r="C398" s="20"/>
    </row>
    <row r="399" spans="1:3" ht="51" customHeight="1">
      <c r="A399" s="20"/>
      <c r="B399" s="20"/>
      <c r="C399" s="20"/>
    </row>
    <row r="400" spans="1:3" ht="51" customHeight="1">
      <c r="A400" s="20"/>
      <c r="B400" s="20"/>
      <c r="C400" s="20"/>
    </row>
    <row r="401" spans="1:3" ht="51" customHeight="1">
      <c r="A401" s="20"/>
      <c r="B401" s="20"/>
      <c r="C401" s="20"/>
    </row>
    <row r="402" spans="1:3" ht="51" customHeight="1">
      <c r="A402" s="20"/>
      <c r="B402" s="20"/>
      <c r="C402" s="20"/>
    </row>
    <row r="403" spans="1:3" ht="51" customHeight="1">
      <c r="A403" s="20"/>
      <c r="B403" s="20"/>
      <c r="C403" s="20"/>
    </row>
    <row r="404" spans="1:3" ht="51" customHeight="1">
      <c r="A404" s="20"/>
      <c r="B404" s="20"/>
      <c r="C404" s="20"/>
    </row>
    <row r="405" spans="1:3" ht="51" customHeight="1">
      <c r="A405" s="20"/>
      <c r="B405" s="20"/>
      <c r="C405" s="20"/>
    </row>
    <row r="406" spans="1:3" ht="51" customHeight="1">
      <c r="A406" s="20"/>
      <c r="B406" s="20"/>
      <c r="C406" s="20"/>
    </row>
    <row r="407" spans="1:3" ht="51" customHeight="1">
      <c r="A407" s="20"/>
      <c r="B407" s="20"/>
      <c r="C407" s="20"/>
    </row>
    <row r="408" spans="1:3" ht="51" customHeight="1">
      <c r="A408" s="20"/>
      <c r="B408" s="20"/>
      <c r="C408" s="20"/>
    </row>
    <row r="409" spans="1:3" ht="51" customHeight="1">
      <c r="A409" s="20"/>
      <c r="B409" s="20"/>
      <c r="C409" s="20"/>
    </row>
    <row r="410" spans="1:3" ht="51" customHeight="1">
      <c r="A410" s="20"/>
      <c r="B410" s="20"/>
      <c r="C410" s="20"/>
    </row>
    <row r="411" spans="1:3" ht="51" customHeight="1">
      <c r="A411" s="20"/>
      <c r="B411" s="20"/>
      <c r="C411" s="20"/>
    </row>
    <row r="412" spans="1:3" ht="51" customHeight="1">
      <c r="A412" s="20"/>
      <c r="B412" s="20"/>
      <c r="C412" s="20"/>
    </row>
    <row r="413" spans="1:3" ht="51" customHeight="1">
      <c r="A413" s="20"/>
      <c r="B413" s="20"/>
      <c r="C413" s="20"/>
    </row>
    <row r="414" spans="1:3" ht="51" customHeight="1">
      <c r="A414" s="20"/>
      <c r="B414" s="20"/>
      <c r="C414" s="20"/>
    </row>
    <row r="415" spans="1:3" ht="51" customHeight="1">
      <c r="A415" s="20"/>
      <c r="B415" s="20"/>
      <c r="C415" s="20"/>
    </row>
    <row r="416" spans="1:3" ht="51" customHeight="1">
      <c r="A416" s="20"/>
      <c r="B416" s="20"/>
      <c r="C416" s="20"/>
    </row>
    <row r="417" spans="1:3" ht="51" customHeight="1">
      <c r="A417" s="20"/>
      <c r="B417" s="20"/>
      <c r="C417" s="20"/>
    </row>
    <row r="418" spans="1:3" ht="51" customHeight="1">
      <c r="A418" s="20"/>
      <c r="B418" s="20"/>
      <c r="C418" s="20"/>
    </row>
    <row r="419" spans="1:3" ht="51" customHeight="1">
      <c r="A419" s="20"/>
      <c r="B419" s="20"/>
      <c r="C419" s="20"/>
    </row>
    <row r="420" spans="1:3" ht="51" customHeight="1">
      <c r="A420" s="20"/>
      <c r="B420" s="20"/>
      <c r="C420" s="20"/>
    </row>
    <row r="421" spans="1:3" ht="51" customHeight="1">
      <c r="A421" s="20"/>
      <c r="B421" s="20"/>
      <c r="C421" s="20"/>
    </row>
    <row r="422" spans="1:3" ht="51" customHeight="1">
      <c r="A422" s="20"/>
      <c r="B422" s="20"/>
      <c r="C422" s="20"/>
    </row>
    <row r="423" spans="1:3" ht="51" customHeight="1">
      <c r="A423" s="20"/>
      <c r="B423" s="20"/>
      <c r="C423" s="20"/>
    </row>
    <row r="424" spans="1:3" ht="51" customHeight="1">
      <c r="A424" s="20"/>
      <c r="B424" s="20"/>
      <c r="C424" s="20"/>
    </row>
    <row r="425" spans="1:3" ht="51" customHeight="1">
      <c r="A425" s="20"/>
      <c r="B425" s="20"/>
      <c r="C425" s="20"/>
    </row>
    <row r="426" spans="1:3" ht="51" customHeight="1">
      <c r="A426" s="20"/>
      <c r="B426" s="20"/>
      <c r="C426" s="20"/>
    </row>
    <row r="427" spans="1:3" ht="51" customHeight="1">
      <c r="A427" s="20"/>
      <c r="B427" s="20"/>
      <c r="C427" s="20"/>
    </row>
    <row r="428" spans="1:3" ht="51" customHeight="1">
      <c r="A428" s="20"/>
      <c r="B428" s="20"/>
      <c r="C428" s="20"/>
    </row>
    <row r="429" spans="1:3" ht="51" customHeight="1">
      <c r="A429" s="20"/>
      <c r="B429" s="20"/>
      <c r="C429" s="20"/>
    </row>
    <row r="430" spans="1:3" ht="51" customHeight="1">
      <c r="A430" s="20"/>
      <c r="B430" s="20"/>
      <c r="C430" s="20"/>
    </row>
    <row r="431" spans="1:3" ht="51" customHeight="1">
      <c r="A431" s="20"/>
      <c r="B431" s="20"/>
      <c r="C431" s="20"/>
    </row>
    <row r="432" spans="1:3" ht="51" customHeight="1">
      <c r="A432" s="20"/>
      <c r="B432" s="20"/>
      <c r="C432" s="20"/>
    </row>
    <row r="433" spans="1:3" ht="51" customHeight="1">
      <c r="A433" s="20"/>
      <c r="B433" s="20"/>
      <c r="C433" s="20"/>
    </row>
    <row r="434" spans="1:3" ht="51" customHeight="1">
      <c r="A434" s="20"/>
      <c r="B434" s="20"/>
      <c r="C434" s="20"/>
    </row>
    <row r="435" spans="1:3" ht="51" customHeight="1">
      <c r="A435" s="20"/>
      <c r="B435" s="20"/>
      <c r="C435" s="20"/>
    </row>
    <row r="436" spans="1:3" ht="51" customHeight="1">
      <c r="A436" s="20"/>
      <c r="B436" s="20"/>
      <c r="C436" s="20"/>
    </row>
    <row r="437" spans="1:3" ht="51" customHeight="1">
      <c r="A437" s="20"/>
      <c r="B437" s="20"/>
      <c r="C437" s="20"/>
    </row>
    <row r="438" spans="1:3" ht="51" customHeight="1">
      <c r="A438" s="20"/>
      <c r="B438" s="20"/>
      <c r="C438" s="20"/>
    </row>
    <row r="439" spans="1:3" ht="51" customHeight="1">
      <c r="A439" s="20"/>
      <c r="B439" s="20"/>
      <c r="C439" s="20"/>
    </row>
    <row r="440" spans="1:3" ht="51" customHeight="1">
      <c r="A440" s="20"/>
      <c r="B440" s="20"/>
      <c r="C440" s="20"/>
    </row>
    <row r="441" spans="1:3" ht="51" customHeight="1">
      <c r="A441" s="20"/>
      <c r="B441" s="20"/>
      <c r="C441" s="20"/>
    </row>
    <row r="442" spans="1:3" ht="51" customHeight="1">
      <c r="A442" s="20"/>
      <c r="B442" s="20"/>
      <c r="C442" s="20"/>
    </row>
    <row r="443" spans="1:3" ht="51" customHeight="1">
      <c r="A443" s="20"/>
      <c r="B443" s="20"/>
      <c r="C443" s="20"/>
    </row>
    <row r="444" spans="1:3" ht="51" customHeight="1">
      <c r="A444" s="20"/>
      <c r="B444" s="20"/>
      <c r="C444" s="20"/>
    </row>
    <row r="445" spans="1:3" ht="51" customHeight="1">
      <c r="A445" s="20"/>
      <c r="B445" s="20"/>
      <c r="C445" s="20"/>
    </row>
    <row r="446" spans="1:3" ht="51" customHeight="1">
      <c r="A446" s="20"/>
      <c r="B446" s="20"/>
      <c r="C446" s="20"/>
    </row>
    <row r="447" spans="1:3" ht="51" customHeight="1">
      <c r="A447" s="20"/>
      <c r="B447" s="20"/>
      <c r="C447" s="20"/>
    </row>
    <row r="448" spans="1:3" ht="51" customHeight="1">
      <c r="A448" s="20"/>
      <c r="B448" s="20"/>
      <c r="C448" s="20"/>
    </row>
    <row r="449" spans="1:3" ht="51" customHeight="1">
      <c r="A449" s="20"/>
      <c r="B449" s="20"/>
      <c r="C449" s="20"/>
    </row>
    <row r="450" spans="1:3" ht="51" customHeight="1">
      <c r="A450" s="20"/>
      <c r="B450" s="20"/>
      <c r="C450" s="20"/>
    </row>
    <row r="451" spans="1:3" ht="51" customHeight="1">
      <c r="A451" s="20"/>
      <c r="B451" s="20"/>
      <c r="C451" s="20"/>
    </row>
    <row r="452" spans="1:3" ht="51" customHeight="1">
      <c r="A452" s="20"/>
      <c r="B452" s="20"/>
      <c r="C452" s="20"/>
    </row>
    <row r="453" spans="1:3" ht="51" customHeight="1">
      <c r="A453" s="20"/>
      <c r="B453" s="20"/>
      <c r="C453" s="20"/>
    </row>
    <row r="454" spans="1:3" ht="51" customHeight="1">
      <c r="A454" s="20"/>
      <c r="B454" s="20"/>
      <c r="C454" s="20"/>
    </row>
    <row r="455" spans="1:3" ht="51" customHeight="1">
      <c r="A455" s="20"/>
      <c r="B455" s="20"/>
      <c r="C455" s="20"/>
    </row>
    <row r="456" spans="1:3" ht="51" customHeight="1">
      <c r="A456" s="20"/>
      <c r="B456" s="20"/>
      <c r="C456" s="20"/>
    </row>
    <row r="457" spans="1:3" ht="51" customHeight="1">
      <c r="A457" s="20"/>
      <c r="B457" s="20"/>
      <c r="C457" s="20"/>
    </row>
    <row r="458" spans="1:3" ht="51" customHeight="1">
      <c r="A458" s="20"/>
      <c r="B458" s="20"/>
      <c r="C458" s="20"/>
    </row>
    <row r="459" spans="1:3" ht="51" customHeight="1">
      <c r="A459" s="20"/>
      <c r="B459" s="20"/>
      <c r="C459" s="20"/>
    </row>
    <row r="460" spans="1:3" ht="51" customHeight="1">
      <c r="A460" s="20"/>
      <c r="B460" s="20"/>
      <c r="C460" s="20"/>
    </row>
    <row r="461" spans="1:3" ht="51" customHeight="1">
      <c r="A461" s="20"/>
      <c r="B461" s="20"/>
      <c r="C461" s="20"/>
    </row>
    <row r="462" spans="1:3" ht="51" customHeight="1">
      <c r="A462" s="20"/>
      <c r="B462" s="20"/>
      <c r="C462" s="20"/>
    </row>
    <row r="463" spans="1:3" ht="51" customHeight="1">
      <c r="A463" s="20"/>
      <c r="B463" s="20"/>
      <c r="C463" s="20"/>
    </row>
    <row r="464" spans="1:3" ht="51" customHeight="1">
      <c r="A464" s="20"/>
      <c r="B464" s="20"/>
      <c r="C464" s="20"/>
    </row>
    <row r="465" spans="1:3" ht="51" customHeight="1">
      <c r="A465" s="20"/>
      <c r="B465" s="20"/>
      <c r="C465" s="20"/>
    </row>
    <row r="466" spans="1:3" ht="51" customHeight="1">
      <c r="A466" s="20"/>
      <c r="B466" s="20"/>
      <c r="C466" s="20"/>
    </row>
    <row r="467" spans="1:3" ht="51" customHeight="1">
      <c r="A467" s="20"/>
      <c r="B467" s="20"/>
      <c r="C467" s="20"/>
    </row>
    <row r="468" spans="1:3" ht="51" customHeight="1">
      <c r="A468" s="20"/>
      <c r="B468" s="20"/>
      <c r="C468" s="20"/>
    </row>
    <row r="469" spans="1:3" ht="51" customHeight="1">
      <c r="A469" s="20"/>
      <c r="B469" s="20"/>
      <c r="C469" s="20"/>
    </row>
    <row r="470" spans="1:3" ht="51" customHeight="1">
      <c r="A470" s="20"/>
      <c r="B470" s="20"/>
      <c r="C470" s="20"/>
    </row>
    <row r="471" spans="1:3" ht="51" customHeight="1">
      <c r="A471" s="20"/>
      <c r="B471" s="20"/>
      <c r="C471" s="20"/>
    </row>
    <row r="472" spans="1:3" ht="51" customHeight="1">
      <c r="A472" s="20"/>
      <c r="B472" s="20"/>
      <c r="C472" s="20"/>
    </row>
    <row r="473" spans="1:3" ht="51" customHeight="1">
      <c r="A473" s="20"/>
      <c r="B473" s="20"/>
      <c r="C473" s="20"/>
    </row>
    <row r="474" spans="1:3" ht="51" customHeight="1">
      <c r="A474" s="20"/>
      <c r="B474" s="20"/>
      <c r="C474" s="20"/>
    </row>
    <row r="475" spans="1:3" ht="51" customHeight="1">
      <c r="A475" s="20"/>
      <c r="B475" s="20"/>
      <c r="C475" s="20"/>
    </row>
    <row r="476" spans="1:3" ht="51" customHeight="1">
      <c r="A476" s="20"/>
      <c r="B476" s="20"/>
      <c r="C476" s="20"/>
    </row>
    <row r="477" spans="1:3" ht="51" customHeight="1">
      <c r="A477" s="20"/>
      <c r="B477" s="20"/>
      <c r="C477" s="20"/>
    </row>
    <row r="478" spans="1:3" ht="51" customHeight="1">
      <c r="A478" s="20"/>
      <c r="B478" s="20"/>
      <c r="C478" s="20"/>
    </row>
    <row r="479" spans="1:3" ht="51" customHeight="1">
      <c r="A479" s="20"/>
      <c r="B479" s="20"/>
      <c r="C479" s="20"/>
    </row>
    <row r="480" spans="1:3" ht="51" customHeight="1">
      <c r="A480" s="20"/>
      <c r="B480" s="20"/>
      <c r="C480" s="20"/>
    </row>
    <row r="481" spans="1:3" ht="51" customHeight="1">
      <c r="A481" s="20"/>
      <c r="B481" s="20"/>
      <c r="C481" s="20"/>
    </row>
    <row r="482" spans="1:3" ht="51" customHeight="1">
      <c r="A482" s="20"/>
      <c r="B482" s="20"/>
      <c r="C482" s="20"/>
    </row>
    <row r="483" spans="1:3" ht="51" customHeight="1">
      <c r="A483" s="20"/>
      <c r="B483" s="20"/>
      <c r="C483" s="20"/>
    </row>
    <row r="484" spans="1:3" ht="51" customHeight="1">
      <c r="A484" s="20"/>
      <c r="B484" s="20"/>
      <c r="C484" s="20"/>
    </row>
    <row r="485" spans="1:3" ht="51" customHeight="1">
      <c r="A485" s="20"/>
      <c r="B485" s="20"/>
      <c r="C485" s="20"/>
    </row>
    <row r="486" spans="1:3" ht="51" customHeight="1">
      <c r="A486" s="20"/>
      <c r="B486" s="20"/>
      <c r="C486" s="20"/>
    </row>
    <row r="487" spans="1:3" ht="51" customHeight="1">
      <c r="A487" s="20"/>
      <c r="B487" s="20"/>
      <c r="C487" s="20"/>
    </row>
    <row r="488" spans="1:3" ht="51" customHeight="1">
      <c r="A488" s="20"/>
      <c r="B488" s="20"/>
      <c r="C488" s="20"/>
    </row>
    <row r="489" spans="1:3" ht="51" customHeight="1">
      <c r="A489" s="20"/>
      <c r="B489" s="20"/>
      <c r="C489" s="20"/>
    </row>
    <row r="490" spans="1:3" ht="51" customHeight="1">
      <c r="A490" s="20"/>
      <c r="B490" s="20"/>
      <c r="C490" s="20"/>
    </row>
    <row r="491" spans="1:3" ht="51" customHeight="1">
      <c r="A491" s="20"/>
      <c r="B491" s="20"/>
      <c r="C491" s="20"/>
    </row>
    <row r="492" spans="1:3" ht="51" customHeight="1">
      <c r="A492" s="20"/>
      <c r="B492" s="20"/>
      <c r="C492" s="20"/>
    </row>
    <row r="493" spans="1:3" ht="51" customHeight="1">
      <c r="A493" s="20"/>
      <c r="B493" s="20"/>
      <c r="C493" s="20"/>
    </row>
    <row r="494" spans="1:3" ht="51" customHeight="1">
      <c r="A494" s="20"/>
      <c r="B494" s="20"/>
      <c r="C494" s="20"/>
    </row>
    <row r="495" spans="1:3" ht="51" customHeight="1">
      <c r="A495" s="20"/>
      <c r="B495" s="20"/>
      <c r="C495" s="20"/>
    </row>
    <row r="496" spans="1:3" ht="51" customHeight="1">
      <c r="A496" s="20"/>
      <c r="B496" s="20"/>
      <c r="C496" s="20"/>
    </row>
    <row r="497" spans="1:3" ht="51" customHeight="1">
      <c r="A497" s="20"/>
      <c r="B497" s="20"/>
      <c r="C497" s="20"/>
    </row>
    <row r="498" spans="1:3" ht="51" customHeight="1">
      <c r="A498" s="20"/>
      <c r="B498" s="20"/>
      <c r="C498" s="20"/>
    </row>
    <row r="499" spans="1:3" ht="51" customHeight="1">
      <c r="A499" s="20"/>
      <c r="B499" s="20"/>
      <c r="C499" s="20"/>
    </row>
    <row r="500" spans="1:3" ht="51" customHeight="1">
      <c r="A500" s="20"/>
      <c r="B500" s="20"/>
      <c r="C500" s="20"/>
    </row>
    <row r="501" spans="1:3" ht="51" customHeight="1">
      <c r="A501" s="20"/>
      <c r="B501" s="20"/>
      <c r="C501" s="20"/>
    </row>
    <row r="502" spans="1:3" ht="51" customHeight="1">
      <c r="A502" s="20"/>
      <c r="B502" s="20"/>
      <c r="C502" s="20"/>
    </row>
    <row r="503" spans="1:3" ht="51" customHeight="1">
      <c r="A503" s="20"/>
      <c r="B503" s="20"/>
      <c r="C503" s="20"/>
    </row>
    <row r="504" spans="1:3" ht="51" customHeight="1">
      <c r="A504" s="20"/>
      <c r="B504" s="20"/>
      <c r="C504" s="20"/>
    </row>
    <row r="505" spans="1:3" ht="51" customHeight="1">
      <c r="A505" s="20"/>
      <c r="B505" s="20"/>
      <c r="C505" s="20"/>
    </row>
    <row r="506" spans="1:3" ht="51" customHeight="1">
      <c r="A506" s="20"/>
      <c r="B506" s="20"/>
      <c r="C506" s="20"/>
    </row>
    <row r="507" spans="1:3" ht="51" customHeight="1">
      <c r="A507" s="20"/>
      <c r="B507" s="20"/>
      <c r="C507" s="20"/>
    </row>
    <row r="508" spans="1:3" ht="51" customHeight="1">
      <c r="A508" s="20"/>
      <c r="B508" s="20"/>
      <c r="C508" s="20"/>
    </row>
    <row r="509" spans="1:3" ht="51" customHeight="1">
      <c r="A509" s="20"/>
      <c r="B509" s="20"/>
      <c r="C509" s="20"/>
    </row>
    <row r="510" spans="1:3" ht="51" customHeight="1">
      <c r="A510" s="20"/>
      <c r="B510" s="20"/>
      <c r="C510" s="20"/>
    </row>
    <row r="511" spans="1:3" ht="51" customHeight="1">
      <c r="A511" s="20"/>
      <c r="B511" s="20"/>
      <c r="C511" s="20"/>
    </row>
    <row r="512" spans="1:3" ht="51" customHeight="1">
      <c r="A512" s="20"/>
      <c r="B512" s="20"/>
      <c r="C512" s="20"/>
    </row>
    <row r="513" spans="1:3" ht="51" customHeight="1">
      <c r="A513" s="20"/>
      <c r="B513" s="20"/>
      <c r="C513" s="20"/>
    </row>
    <row r="514" spans="1:3" ht="51" customHeight="1">
      <c r="A514" s="20"/>
      <c r="B514" s="20"/>
      <c r="C514" s="20"/>
    </row>
    <row r="515" spans="1:3" ht="51" customHeight="1">
      <c r="A515" s="20"/>
      <c r="B515" s="20"/>
      <c r="C515" s="20"/>
    </row>
    <row r="516" spans="1:3" ht="51" customHeight="1">
      <c r="A516" s="20"/>
      <c r="B516" s="20"/>
      <c r="C516" s="20"/>
    </row>
    <row r="517" spans="1:3" ht="51" customHeight="1">
      <c r="A517" s="20"/>
      <c r="B517" s="20"/>
      <c r="C517" s="20"/>
    </row>
    <row r="518" spans="1:3" ht="51" customHeight="1">
      <c r="A518" s="20"/>
      <c r="B518" s="20"/>
      <c r="C518" s="20"/>
    </row>
    <row r="519" spans="1:3" ht="51" customHeight="1">
      <c r="A519" s="20"/>
      <c r="B519" s="20"/>
      <c r="C519" s="20"/>
    </row>
    <row r="520" spans="1:3" ht="51" customHeight="1">
      <c r="A520" s="20"/>
      <c r="B520" s="20"/>
      <c r="C520" s="20"/>
    </row>
    <row r="521" spans="1:3" ht="51" customHeight="1">
      <c r="A521" s="20"/>
      <c r="B521" s="20"/>
      <c r="C521" s="20"/>
    </row>
    <row r="522" spans="1:3" ht="51" customHeight="1">
      <c r="A522" s="20"/>
      <c r="B522" s="20"/>
      <c r="C522" s="20"/>
    </row>
    <row r="523" spans="1:3" ht="51" customHeight="1">
      <c r="A523" s="20"/>
      <c r="B523" s="20"/>
      <c r="C523" s="20"/>
    </row>
    <row r="524" spans="1:3" ht="51" customHeight="1">
      <c r="A524" s="20"/>
      <c r="B524" s="20"/>
      <c r="C524" s="20"/>
    </row>
    <row r="525" spans="1:3" ht="51" customHeight="1">
      <c r="A525" s="20"/>
      <c r="B525" s="20"/>
      <c r="C525" s="20"/>
    </row>
    <row r="526" spans="1:3" ht="51" customHeight="1">
      <c r="A526" s="20"/>
      <c r="B526" s="20"/>
      <c r="C526" s="20"/>
    </row>
    <row r="527" spans="1:3" ht="51" customHeight="1">
      <c r="A527" s="20"/>
      <c r="B527" s="20"/>
      <c r="C527" s="20"/>
    </row>
    <row r="528" spans="1:3" ht="51" customHeight="1">
      <c r="A528" s="20"/>
      <c r="B528" s="20"/>
      <c r="C528" s="20"/>
    </row>
    <row r="529" spans="1:3" ht="51" customHeight="1">
      <c r="A529" s="20"/>
      <c r="B529" s="20"/>
      <c r="C529" s="20"/>
    </row>
    <row r="530" spans="1:3" ht="51" customHeight="1">
      <c r="A530" s="20"/>
      <c r="B530" s="20"/>
      <c r="C530" s="20"/>
    </row>
    <row r="531" spans="1:3" ht="51" customHeight="1">
      <c r="A531" s="20"/>
      <c r="B531" s="20"/>
      <c r="C531" s="20"/>
    </row>
    <row r="532" spans="1:3" ht="51" customHeight="1">
      <c r="A532" s="20"/>
      <c r="B532" s="20"/>
      <c r="C532" s="20"/>
    </row>
    <row r="533" spans="1:3" ht="51" customHeight="1">
      <c r="A533" s="20"/>
      <c r="B533" s="20"/>
      <c r="C533" s="20"/>
    </row>
    <row r="534" spans="1:3" ht="51" customHeight="1">
      <c r="A534" s="20"/>
      <c r="B534" s="20"/>
      <c r="C534" s="20"/>
    </row>
    <row r="535" spans="1:3" ht="51" customHeight="1">
      <c r="A535" s="20"/>
      <c r="B535" s="20"/>
      <c r="C535" s="20"/>
    </row>
    <row r="536" spans="1:3" ht="51" customHeight="1">
      <c r="A536" s="20"/>
      <c r="B536" s="20"/>
      <c r="C536" s="20"/>
    </row>
    <row r="537" spans="1:3" ht="51" customHeight="1">
      <c r="A537" s="20"/>
      <c r="B537" s="20"/>
      <c r="C537" s="20"/>
    </row>
    <row r="538" spans="1:3" ht="51" customHeight="1">
      <c r="A538" s="20"/>
      <c r="B538" s="20"/>
      <c r="C538" s="20"/>
    </row>
    <row r="539" spans="1:3" ht="51" customHeight="1">
      <c r="A539" s="20"/>
      <c r="B539" s="20"/>
      <c r="C539" s="20"/>
    </row>
    <row r="540" spans="1:3" ht="51" customHeight="1">
      <c r="A540" s="20"/>
      <c r="B540" s="20"/>
      <c r="C540" s="20"/>
    </row>
    <row r="541" spans="1:3" ht="51" customHeight="1">
      <c r="A541" s="20"/>
      <c r="B541" s="20"/>
      <c r="C541" s="20"/>
    </row>
    <row r="542" spans="1:3" ht="51" customHeight="1">
      <c r="A542" s="20"/>
      <c r="B542" s="20"/>
      <c r="C542" s="20"/>
    </row>
    <row r="543" spans="1:3" ht="51" customHeight="1">
      <c r="A543" s="20"/>
      <c r="B543" s="20"/>
      <c r="C543" s="20"/>
    </row>
    <row r="544" spans="1:3" ht="51" customHeight="1">
      <c r="A544" s="20"/>
      <c r="B544" s="20"/>
      <c r="C544" s="20"/>
    </row>
    <row r="545" spans="1:3" ht="51" customHeight="1">
      <c r="A545" s="20"/>
      <c r="B545" s="20"/>
      <c r="C545" s="20"/>
    </row>
    <row r="546" spans="1:3" ht="51" customHeight="1">
      <c r="A546" s="20"/>
      <c r="B546" s="20"/>
      <c r="C546" s="20"/>
    </row>
    <row r="547" spans="1:3" ht="51" customHeight="1">
      <c r="A547" s="20"/>
      <c r="B547" s="20"/>
      <c r="C547" s="20"/>
    </row>
    <row r="548" spans="1:3" ht="51" customHeight="1">
      <c r="A548" s="20"/>
      <c r="B548" s="20"/>
      <c r="C548" s="20"/>
    </row>
    <row r="549" spans="1:3" ht="51" customHeight="1">
      <c r="A549" s="20"/>
      <c r="B549" s="20"/>
      <c r="C549" s="20"/>
    </row>
    <row r="550" spans="1:3" ht="51" customHeight="1">
      <c r="A550" s="20"/>
      <c r="B550" s="20"/>
      <c r="C550" s="20"/>
    </row>
    <row r="551" spans="1:3" ht="51" customHeight="1">
      <c r="A551" s="20"/>
      <c r="B551" s="20"/>
      <c r="C551" s="20"/>
    </row>
    <row r="552" spans="1:3" ht="51" customHeight="1">
      <c r="A552" s="20"/>
      <c r="B552" s="20"/>
      <c r="C552" s="20"/>
    </row>
    <row r="553" spans="1:3" ht="51" customHeight="1">
      <c r="A553" s="20"/>
      <c r="B553" s="20"/>
      <c r="C553" s="20"/>
    </row>
    <row r="554" spans="1:3" ht="51" customHeight="1">
      <c r="A554" s="20"/>
      <c r="B554" s="20"/>
      <c r="C554" s="20"/>
    </row>
    <row r="555" spans="1:3" ht="51" customHeight="1">
      <c r="A555" s="20"/>
      <c r="B555" s="20"/>
      <c r="C555" s="20"/>
    </row>
    <row r="556" spans="1:3" ht="51" customHeight="1">
      <c r="A556" s="20"/>
      <c r="B556" s="20"/>
      <c r="C556" s="20"/>
    </row>
    <row r="557" spans="1:3" ht="51" customHeight="1">
      <c r="A557" s="20"/>
      <c r="B557" s="20"/>
      <c r="C557" s="20"/>
    </row>
    <row r="558" spans="1:3" ht="51" customHeight="1">
      <c r="A558" s="20"/>
      <c r="B558" s="20"/>
      <c r="C558" s="20"/>
    </row>
    <row r="559" spans="1:3" ht="51" customHeight="1">
      <c r="A559" s="20"/>
      <c r="B559" s="20"/>
      <c r="C559" s="20"/>
    </row>
    <row r="560" spans="1:3" ht="51" customHeight="1">
      <c r="A560" s="20"/>
      <c r="B560" s="20"/>
      <c r="C560" s="20"/>
    </row>
    <row r="561" spans="1:3" ht="51" customHeight="1">
      <c r="A561" s="20"/>
      <c r="B561" s="20"/>
      <c r="C561" s="20"/>
    </row>
    <row r="562" spans="1:3" ht="51" customHeight="1">
      <c r="A562" s="20"/>
      <c r="B562" s="20"/>
      <c r="C562" s="20"/>
    </row>
    <row r="563" spans="1:3" ht="51" customHeight="1">
      <c r="A563" s="20"/>
      <c r="B563" s="20"/>
      <c r="C563" s="20"/>
    </row>
    <row r="564" spans="1:3" ht="51" customHeight="1">
      <c r="A564" s="20"/>
      <c r="B564" s="20"/>
      <c r="C564" s="20"/>
    </row>
    <row r="565" spans="1:3" ht="51" customHeight="1">
      <c r="A565" s="20"/>
      <c r="B565" s="20"/>
      <c r="C565" s="20"/>
    </row>
    <row r="566" spans="1:3" ht="51" customHeight="1">
      <c r="A566" s="20"/>
      <c r="B566" s="20"/>
      <c r="C566" s="20"/>
    </row>
    <row r="567" spans="1:3" ht="51" customHeight="1">
      <c r="A567" s="20"/>
      <c r="B567" s="20"/>
      <c r="C567" s="20"/>
    </row>
    <row r="568" spans="1:3" ht="51" customHeight="1">
      <c r="A568" s="20"/>
      <c r="B568" s="20"/>
      <c r="C568" s="20"/>
    </row>
    <row r="569" spans="1:3" ht="51" customHeight="1">
      <c r="A569" s="20"/>
      <c r="B569" s="20"/>
      <c r="C569" s="20"/>
    </row>
    <row r="570" spans="1:3" ht="51" customHeight="1">
      <c r="A570" s="20"/>
      <c r="B570" s="20"/>
      <c r="C570" s="20"/>
    </row>
    <row r="571" spans="1:3" ht="51" customHeight="1">
      <c r="A571" s="20"/>
      <c r="B571" s="20"/>
      <c r="C571" s="20"/>
    </row>
    <row r="572" spans="1:3" ht="51" customHeight="1">
      <c r="A572" s="20"/>
      <c r="B572" s="20"/>
      <c r="C572" s="20"/>
    </row>
    <row r="573" spans="1:3" ht="51" customHeight="1">
      <c r="A573" s="20"/>
      <c r="B573" s="20"/>
      <c r="C573" s="20"/>
    </row>
    <row r="574" spans="1:3" ht="51" customHeight="1">
      <c r="A574" s="20"/>
      <c r="B574" s="20"/>
      <c r="C574" s="20"/>
    </row>
    <row r="575" spans="1:3" ht="51" customHeight="1">
      <c r="A575" s="20"/>
      <c r="B575" s="20"/>
      <c r="C575" s="20"/>
    </row>
    <row r="576" spans="1:3" ht="51" customHeight="1">
      <c r="A576" s="20"/>
      <c r="B576" s="20"/>
      <c r="C576" s="20"/>
    </row>
    <row r="577" spans="1:3" ht="51" customHeight="1">
      <c r="A577" s="20"/>
      <c r="B577" s="20"/>
      <c r="C577" s="20"/>
    </row>
    <row r="578" spans="1:3" ht="51" customHeight="1">
      <c r="A578" s="20"/>
      <c r="B578" s="20"/>
      <c r="C578" s="20"/>
    </row>
    <row r="579" spans="1:3" ht="51" customHeight="1">
      <c r="A579" s="20"/>
      <c r="B579" s="20"/>
      <c r="C579" s="20"/>
    </row>
    <row r="580" spans="1:3" ht="51" customHeight="1">
      <c r="A580" s="20"/>
      <c r="B580" s="20"/>
      <c r="C580" s="20"/>
    </row>
    <row r="581" spans="1:3" ht="51" customHeight="1">
      <c r="A581" s="20"/>
      <c r="B581" s="20"/>
      <c r="C581" s="20"/>
    </row>
    <row r="582" spans="1:3" ht="51" customHeight="1">
      <c r="A582" s="20"/>
      <c r="B582" s="20"/>
      <c r="C582" s="20"/>
    </row>
    <row r="583" spans="1:3" ht="51" customHeight="1">
      <c r="A583" s="20"/>
      <c r="B583" s="20"/>
      <c r="C583" s="20"/>
    </row>
    <row r="584" spans="1:3" ht="51" customHeight="1">
      <c r="A584" s="20"/>
      <c r="B584" s="20"/>
      <c r="C584" s="20"/>
    </row>
    <row r="585" spans="1:3" ht="51" customHeight="1">
      <c r="A585" s="20"/>
      <c r="B585" s="20"/>
      <c r="C585" s="20"/>
    </row>
    <row r="586" spans="1:3" ht="51" customHeight="1">
      <c r="A586" s="20"/>
      <c r="B586" s="20"/>
      <c r="C586" s="20"/>
    </row>
    <row r="587" spans="1:3" ht="51" customHeight="1">
      <c r="A587" s="20"/>
      <c r="B587" s="20"/>
      <c r="C587" s="20"/>
    </row>
    <row r="588" spans="1:3" ht="51" customHeight="1">
      <c r="A588" s="20"/>
      <c r="B588" s="20"/>
      <c r="C588" s="20"/>
    </row>
    <row r="589" spans="1:3" ht="51" customHeight="1">
      <c r="A589" s="20"/>
      <c r="B589" s="20"/>
      <c r="C589" s="20"/>
    </row>
    <row r="590" spans="1:3" ht="51" customHeight="1">
      <c r="A590" s="20"/>
      <c r="B590" s="20"/>
      <c r="C590" s="20"/>
    </row>
    <row r="591" spans="1:3" ht="51" customHeight="1">
      <c r="A591" s="20"/>
      <c r="B591" s="20"/>
      <c r="C591" s="20"/>
    </row>
    <row r="592" spans="1:3" ht="51" customHeight="1">
      <c r="A592" s="20"/>
      <c r="B592" s="20"/>
      <c r="C592" s="20"/>
    </row>
    <row r="593" spans="1:3" ht="51" customHeight="1">
      <c r="A593" s="20"/>
      <c r="B593" s="20"/>
      <c r="C593" s="20"/>
    </row>
    <row r="594" spans="1:3" ht="51" customHeight="1">
      <c r="A594" s="20"/>
      <c r="B594" s="20"/>
      <c r="C594" s="20"/>
    </row>
    <row r="595" spans="1:3" ht="51" customHeight="1">
      <c r="A595" s="20"/>
      <c r="B595" s="20"/>
      <c r="C595" s="20"/>
    </row>
    <row r="596" spans="1:3" ht="51" customHeight="1">
      <c r="A596" s="20"/>
      <c r="B596" s="20"/>
      <c r="C596" s="20"/>
    </row>
    <row r="597" spans="1:3" ht="51" customHeight="1">
      <c r="A597" s="20"/>
      <c r="B597" s="20"/>
      <c r="C597" s="20"/>
    </row>
    <row r="598" spans="1:3" ht="51" customHeight="1">
      <c r="A598" s="20"/>
      <c r="B598" s="20"/>
      <c r="C598" s="20"/>
    </row>
    <row r="599" spans="1:3" ht="51" customHeight="1">
      <c r="A599" s="20"/>
      <c r="B599" s="20"/>
      <c r="C599" s="20"/>
    </row>
    <row r="600" spans="1:3" ht="51" customHeight="1">
      <c r="A600" s="20"/>
      <c r="B600" s="20"/>
      <c r="C600" s="20"/>
    </row>
    <row r="601" spans="1:3" ht="51" customHeight="1">
      <c r="A601" s="20"/>
      <c r="B601" s="20"/>
      <c r="C601" s="20"/>
    </row>
    <row r="602" spans="1:3" ht="51" customHeight="1">
      <c r="A602" s="20"/>
      <c r="B602" s="20"/>
      <c r="C602" s="20"/>
    </row>
    <row r="603" spans="1:3" ht="51" customHeight="1">
      <c r="A603" s="20"/>
      <c r="B603" s="20"/>
      <c r="C603" s="20"/>
    </row>
    <row r="604" spans="1:3" ht="51" customHeight="1">
      <c r="A604" s="20"/>
      <c r="B604" s="20"/>
      <c r="C604" s="20"/>
    </row>
    <row r="605" spans="1:3" ht="51" customHeight="1">
      <c r="A605" s="20"/>
      <c r="B605" s="20"/>
      <c r="C605" s="20"/>
    </row>
    <row r="606" spans="1:3" ht="51" customHeight="1">
      <c r="A606" s="20"/>
      <c r="B606" s="20"/>
      <c r="C606" s="20"/>
    </row>
    <row r="607" spans="1:3" ht="51" customHeight="1">
      <c r="A607" s="20"/>
      <c r="B607" s="20"/>
      <c r="C607" s="20"/>
    </row>
    <row r="608" spans="1:3" ht="51" customHeight="1">
      <c r="A608" s="20"/>
      <c r="B608" s="20"/>
      <c r="C608" s="20"/>
    </row>
    <row r="609" spans="1:3" ht="51" customHeight="1">
      <c r="A609" s="20"/>
      <c r="B609" s="20"/>
      <c r="C609" s="20"/>
    </row>
    <row r="610" spans="1:3" ht="51" customHeight="1">
      <c r="A610" s="20"/>
      <c r="B610" s="20"/>
      <c r="C610" s="20"/>
    </row>
    <row r="611" spans="1:3" ht="51" customHeight="1">
      <c r="A611" s="20"/>
      <c r="B611" s="20"/>
      <c r="C611" s="20"/>
    </row>
    <row r="612" spans="1:3" ht="51" customHeight="1">
      <c r="A612" s="20"/>
      <c r="B612" s="20"/>
      <c r="C612" s="20"/>
    </row>
    <row r="613" spans="1:3" ht="51" customHeight="1">
      <c r="A613" s="20"/>
      <c r="B613" s="20"/>
      <c r="C613" s="20"/>
    </row>
    <row r="614" spans="1:3" ht="51" customHeight="1">
      <c r="A614" s="20"/>
      <c r="B614" s="20"/>
      <c r="C614" s="20"/>
    </row>
    <row r="615" spans="1:3" ht="51" customHeight="1">
      <c r="A615" s="20"/>
      <c r="B615" s="20"/>
      <c r="C615" s="20"/>
    </row>
    <row r="616" spans="1:3" ht="51" customHeight="1">
      <c r="A616" s="20"/>
      <c r="B616" s="20"/>
      <c r="C616" s="20"/>
    </row>
    <row r="617" spans="1:3" ht="51" customHeight="1">
      <c r="A617" s="20"/>
      <c r="B617" s="20"/>
      <c r="C617" s="20"/>
    </row>
    <row r="618" spans="1:3" ht="51" customHeight="1">
      <c r="A618" s="20"/>
      <c r="B618" s="20"/>
      <c r="C618" s="20"/>
    </row>
    <row r="619" spans="1:3" ht="51" customHeight="1">
      <c r="A619" s="20"/>
      <c r="B619" s="20"/>
      <c r="C619" s="20"/>
    </row>
    <row r="620" spans="1:3" ht="51" customHeight="1">
      <c r="A620" s="20"/>
      <c r="B620" s="20"/>
      <c r="C620" s="20"/>
    </row>
    <row r="621" spans="1:3" ht="51" customHeight="1">
      <c r="A621" s="20"/>
      <c r="B621" s="20"/>
      <c r="C621" s="20"/>
    </row>
    <row r="622" spans="1:3" ht="51" customHeight="1">
      <c r="A622" s="20"/>
      <c r="B622" s="20"/>
      <c r="C622" s="20"/>
    </row>
    <row r="623" spans="1:3" ht="51" customHeight="1">
      <c r="A623" s="20"/>
      <c r="B623" s="20"/>
      <c r="C623" s="20"/>
    </row>
    <row r="624" spans="1:3" ht="51" customHeight="1">
      <c r="A624" s="20"/>
      <c r="B624" s="20"/>
      <c r="C624" s="20"/>
    </row>
    <row r="625" spans="1:3" ht="51" customHeight="1">
      <c r="A625" s="20"/>
      <c r="B625" s="20"/>
      <c r="C625" s="20"/>
    </row>
    <row r="626" spans="1:3" ht="51" customHeight="1">
      <c r="A626" s="20"/>
      <c r="B626" s="20"/>
      <c r="C626" s="20"/>
    </row>
    <row r="627" spans="1:3" ht="51" customHeight="1">
      <c r="A627" s="20"/>
      <c r="B627" s="20"/>
      <c r="C627" s="20"/>
    </row>
    <row r="628" spans="1:3" ht="51" customHeight="1">
      <c r="A628" s="20"/>
      <c r="B628" s="20"/>
      <c r="C628" s="20"/>
    </row>
    <row r="629" spans="1:3" ht="51" customHeight="1">
      <c r="A629" s="20"/>
      <c r="B629" s="20"/>
      <c r="C629" s="20"/>
    </row>
    <row r="630" spans="1:3" ht="51" customHeight="1">
      <c r="A630" s="20"/>
      <c r="B630" s="20"/>
      <c r="C630" s="20"/>
    </row>
    <row r="631" spans="1:3" ht="51" customHeight="1">
      <c r="A631" s="20"/>
      <c r="B631" s="20"/>
      <c r="C631" s="20"/>
    </row>
    <row r="632" spans="1:3" ht="51" customHeight="1">
      <c r="A632" s="20"/>
      <c r="B632" s="20"/>
      <c r="C632" s="20"/>
    </row>
    <row r="633" spans="1:3" ht="51" customHeight="1">
      <c r="A633" s="20"/>
      <c r="B633" s="20"/>
      <c r="C633" s="20"/>
    </row>
    <row r="634" spans="1:3" ht="51" customHeight="1">
      <c r="A634" s="20"/>
      <c r="B634" s="20"/>
      <c r="C634" s="20"/>
    </row>
    <row r="635" spans="1:3" ht="51" customHeight="1">
      <c r="A635" s="20"/>
      <c r="B635" s="20"/>
      <c r="C635" s="20"/>
    </row>
    <row r="636" spans="1:3" ht="51" customHeight="1">
      <c r="A636" s="20"/>
      <c r="B636" s="20"/>
      <c r="C636" s="20"/>
    </row>
    <row r="637" spans="1:3" ht="51" customHeight="1">
      <c r="A637" s="20"/>
      <c r="B637" s="20"/>
      <c r="C637" s="20"/>
    </row>
    <row r="638" spans="1:3" ht="51" customHeight="1">
      <c r="A638" s="20"/>
      <c r="B638" s="20"/>
      <c r="C638" s="20"/>
    </row>
    <row r="639" spans="1:3" ht="51" customHeight="1">
      <c r="A639" s="20"/>
      <c r="B639" s="20"/>
      <c r="C639" s="20"/>
    </row>
    <row r="640" spans="1:3" ht="51" customHeight="1">
      <c r="A640" s="20"/>
      <c r="B640" s="20"/>
      <c r="C640" s="20"/>
    </row>
    <row r="641" spans="1:3" ht="51" customHeight="1">
      <c r="A641" s="20"/>
      <c r="B641" s="20"/>
      <c r="C641" s="20"/>
    </row>
    <row r="642" spans="1:3" ht="51" customHeight="1">
      <c r="A642" s="20"/>
      <c r="B642" s="20"/>
      <c r="C642" s="20"/>
    </row>
    <row r="643" spans="1:3" ht="51" customHeight="1">
      <c r="A643" s="20"/>
      <c r="B643" s="20"/>
      <c r="C643" s="20"/>
    </row>
    <row r="644" spans="1:3" ht="51" customHeight="1">
      <c r="A644" s="20"/>
      <c r="B644" s="20"/>
      <c r="C644" s="20"/>
    </row>
    <row r="645" spans="1:3" ht="51" customHeight="1">
      <c r="A645" s="20"/>
      <c r="B645" s="20"/>
      <c r="C645" s="20"/>
    </row>
    <row r="646" spans="1:3" ht="51" customHeight="1">
      <c r="A646" s="20"/>
      <c r="B646" s="20"/>
      <c r="C646" s="20"/>
    </row>
    <row r="647" spans="1:3" ht="51" customHeight="1">
      <c r="A647" s="20"/>
      <c r="B647" s="20"/>
      <c r="C647" s="20"/>
    </row>
    <row r="648" spans="1:3" ht="51" customHeight="1">
      <c r="A648" s="20"/>
      <c r="B648" s="20"/>
      <c r="C648" s="20"/>
    </row>
    <row r="649" spans="1:3" ht="51" customHeight="1">
      <c r="A649" s="20"/>
      <c r="B649" s="20"/>
      <c r="C649" s="20"/>
    </row>
    <row r="650" spans="1:3" ht="51" customHeight="1">
      <c r="A650" s="20"/>
      <c r="B650" s="20"/>
      <c r="C650" s="20"/>
    </row>
    <row r="651" spans="1:3" ht="51" customHeight="1">
      <c r="A651" s="20"/>
      <c r="B651" s="20"/>
      <c r="C651" s="20"/>
    </row>
    <row r="652" spans="1:3" ht="51" customHeight="1">
      <c r="A652" s="20"/>
      <c r="B652" s="20"/>
      <c r="C652" s="20"/>
    </row>
    <row r="653" spans="1:3" ht="51" customHeight="1">
      <c r="A653" s="20"/>
      <c r="B653" s="20"/>
      <c r="C653" s="20"/>
    </row>
    <row r="654" spans="1:3" ht="51" customHeight="1">
      <c r="A654" s="20"/>
      <c r="B654" s="20"/>
      <c r="C654" s="20"/>
    </row>
    <row r="655" spans="1:3" ht="51" customHeight="1">
      <c r="A655" s="20"/>
      <c r="B655" s="20"/>
      <c r="C655" s="20"/>
    </row>
    <row r="656" spans="1:3" ht="51" customHeight="1">
      <c r="A656" s="20"/>
      <c r="B656" s="20"/>
      <c r="C656" s="20"/>
    </row>
    <row r="657" spans="1:3" ht="51" customHeight="1">
      <c r="A657" s="20"/>
      <c r="B657" s="20"/>
      <c r="C657" s="20"/>
    </row>
    <row r="658" spans="1:3" ht="51" customHeight="1">
      <c r="A658" s="20"/>
      <c r="B658" s="20"/>
      <c r="C658" s="20"/>
    </row>
    <row r="659" spans="1:3" ht="51" customHeight="1">
      <c r="A659" s="20"/>
      <c r="B659" s="20"/>
      <c r="C659" s="20"/>
    </row>
    <row r="660" spans="1:3" ht="51" customHeight="1">
      <c r="A660" s="20"/>
      <c r="B660" s="20"/>
      <c r="C660" s="20"/>
    </row>
    <row r="661" spans="1:3" ht="51" customHeight="1">
      <c r="A661" s="20"/>
      <c r="B661" s="20"/>
      <c r="C661" s="20"/>
    </row>
    <row r="662" spans="1:3" ht="51" customHeight="1">
      <c r="A662" s="20"/>
      <c r="B662" s="20"/>
      <c r="C662" s="20"/>
    </row>
    <row r="663" spans="1:3" ht="51" customHeight="1">
      <c r="A663" s="20"/>
      <c r="B663" s="20"/>
      <c r="C663" s="20"/>
    </row>
    <row r="664" spans="1:3" ht="51" customHeight="1">
      <c r="A664" s="20"/>
      <c r="B664" s="20"/>
      <c r="C664" s="20"/>
    </row>
    <row r="665" spans="1:3" ht="51" customHeight="1">
      <c r="A665" s="20"/>
      <c r="B665" s="20"/>
      <c r="C665" s="20"/>
    </row>
    <row r="666" spans="1:3" ht="51" customHeight="1">
      <c r="A666" s="20"/>
      <c r="B666" s="20"/>
      <c r="C666" s="20"/>
    </row>
    <row r="667" spans="1:3" ht="51" customHeight="1">
      <c r="A667" s="20"/>
      <c r="B667" s="20"/>
      <c r="C667" s="20"/>
    </row>
    <row r="668" spans="1:3" ht="51" customHeight="1">
      <c r="A668" s="20"/>
      <c r="B668" s="20"/>
      <c r="C668" s="20"/>
    </row>
    <row r="669" spans="1:3" ht="51" customHeight="1">
      <c r="A669" s="20"/>
      <c r="B669" s="20"/>
      <c r="C669" s="20"/>
    </row>
    <row r="670" spans="1:3" ht="51" customHeight="1">
      <c r="A670" s="20"/>
      <c r="B670" s="20"/>
      <c r="C670" s="20"/>
    </row>
    <row r="671" spans="1:3" ht="51" customHeight="1">
      <c r="A671" s="20"/>
      <c r="B671" s="20"/>
      <c r="C671" s="20"/>
    </row>
    <row r="672" spans="1:3" ht="51" customHeight="1">
      <c r="A672" s="20"/>
      <c r="B672" s="20"/>
      <c r="C672" s="20"/>
    </row>
    <row r="673" spans="1:3" ht="51" customHeight="1">
      <c r="A673" s="20"/>
      <c r="B673" s="20"/>
      <c r="C673" s="20"/>
    </row>
    <row r="674" spans="1:3" ht="51" customHeight="1">
      <c r="A674" s="20"/>
      <c r="B674" s="20"/>
      <c r="C674" s="20"/>
    </row>
    <row r="675" spans="1:3" ht="51" customHeight="1">
      <c r="A675" s="20"/>
      <c r="B675" s="20"/>
      <c r="C675" s="20"/>
    </row>
    <row r="676" spans="1:3" ht="51" customHeight="1">
      <c r="A676" s="20"/>
      <c r="B676" s="20"/>
      <c r="C676" s="20"/>
    </row>
    <row r="677" spans="1:3" ht="51" customHeight="1">
      <c r="A677" s="20"/>
      <c r="B677" s="20"/>
      <c r="C677" s="20"/>
    </row>
    <row r="678" spans="1:3" ht="51" customHeight="1">
      <c r="A678" s="20"/>
      <c r="B678" s="20"/>
      <c r="C678" s="20"/>
    </row>
    <row r="679" spans="1:3" ht="51" customHeight="1">
      <c r="A679" s="20"/>
      <c r="B679" s="20"/>
      <c r="C679" s="20"/>
    </row>
    <row r="680" spans="1:3" ht="51" customHeight="1">
      <c r="A680" s="20"/>
      <c r="B680" s="20"/>
      <c r="C680" s="20"/>
    </row>
    <row r="681" spans="1:3" ht="51" customHeight="1">
      <c r="A681" s="20"/>
      <c r="B681" s="20"/>
      <c r="C681" s="20"/>
    </row>
    <row r="682" spans="1:3" ht="51" customHeight="1">
      <c r="A682" s="20"/>
      <c r="B682" s="20"/>
      <c r="C682" s="20"/>
    </row>
    <row r="683" spans="1:3" ht="51" customHeight="1">
      <c r="A683" s="20"/>
      <c r="B683" s="20"/>
      <c r="C683" s="20"/>
    </row>
    <row r="684" spans="1:3" ht="51" customHeight="1">
      <c r="A684" s="20"/>
      <c r="B684" s="20"/>
      <c r="C684" s="20"/>
    </row>
    <row r="685" spans="1:3" ht="51" customHeight="1">
      <c r="A685" s="20"/>
      <c r="B685" s="20"/>
      <c r="C685" s="20"/>
    </row>
    <row r="686" spans="1:3" ht="51" customHeight="1">
      <c r="A686" s="20"/>
      <c r="B686" s="20"/>
      <c r="C686" s="20"/>
    </row>
    <row r="687" spans="1:3" ht="51" customHeight="1">
      <c r="A687" s="20"/>
      <c r="B687" s="20"/>
      <c r="C687" s="20"/>
    </row>
    <row r="688" spans="1:3" ht="51" customHeight="1">
      <c r="A688" s="20"/>
      <c r="B688" s="20"/>
      <c r="C688" s="20"/>
    </row>
    <row r="689" spans="1:3" ht="51" customHeight="1">
      <c r="A689" s="20"/>
      <c r="B689" s="20"/>
      <c r="C689" s="20"/>
    </row>
    <row r="690" spans="1:3" ht="51" customHeight="1">
      <c r="A690" s="20"/>
      <c r="B690" s="20"/>
      <c r="C690" s="20"/>
    </row>
    <row r="691" spans="1:3" ht="51" customHeight="1">
      <c r="A691" s="20"/>
      <c r="B691" s="20"/>
      <c r="C691" s="20"/>
    </row>
    <row r="692" spans="1:3" ht="51" customHeight="1">
      <c r="A692" s="20"/>
      <c r="B692" s="20"/>
      <c r="C692" s="20"/>
    </row>
    <row r="693" spans="1:3" ht="51" customHeight="1">
      <c r="A693" s="20"/>
      <c r="B693" s="20"/>
      <c r="C693" s="20"/>
    </row>
    <row r="694" spans="1:3" ht="51" customHeight="1">
      <c r="A694" s="20"/>
      <c r="B694" s="20"/>
      <c r="C694" s="20"/>
    </row>
    <row r="695" spans="1:3" ht="51" customHeight="1">
      <c r="A695" s="20"/>
      <c r="B695" s="20"/>
      <c r="C695" s="20"/>
    </row>
    <row r="696" spans="1:3" ht="51" customHeight="1">
      <c r="A696" s="20"/>
      <c r="B696" s="20"/>
      <c r="C696" s="20"/>
    </row>
    <row r="697" spans="1:3" ht="51" customHeight="1">
      <c r="A697" s="20"/>
      <c r="B697" s="20"/>
      <c r="C697" s="20"/>
    </row>
    <row r="698" spans="1:3" ht="51" customHeight="1">
      <c r="A698" s="20"/>
      <c r="B698" s="20"/>
      <c r="C698" s="20"/>
    </row>
    <row r="699" spans="1:3" ht="51" customHeight="1">
      <c r="A699" s="20"/>
      <c r="B699" s="20"/>
      <c r="C699" s="20"/>
    </row>
    <row r="700" spans="1:3" ht="51" customHeight="1">
      <c r="A700" s="20"/>
      <c r="B700" s="20"/>
      <c r="C700" s="20"/>
    </row>
    <row r="701" spans="1:3" ht="51" customHeight="1">
      <c r="A701" s="20"/>
      <c r="B701" s="20"/>
      <c r="C701" s="20"/>
    </row>
    <row r="702" spans="1:3" ht="51" customHeight="1">
      <c r="A702" s="20"/>
      <c r="B702" s="20"/>
      <c r="C702" s="20"/>
    </row>
    <row r="703" spans="1:3" ht="51" customHeight="1">
      <c r="A703" s="20"/>
      <c r="B703" s="20"/>
      <c r="C703" s="20"/>
    </row>
    <row r="704" spans="1:3" ht="51" customHeight="1">
      <c r="A704" s="20"/>
      <c r="B704" s="20"/>
      <c r="C704" s="20"/>
    </row>
    <row r="705" spans="1:3" ht="51" customHeight="1">
      <c r="A705" s="20"/>
      <c r="B705" s="20"/>
      <c r="C705" s="20"/>
    </row>
    <row r="706" spans="1:3" ht="51" customHeight="1">
      <c r="A706" s="20"/>
      <c r="B706" s="20"/>
      <c r="C706" s="20"/>
    </row>
    <row r="707" spans="1:3" ht="51" customHeight="1">
      <c r="A707" s="20"/>
      <c r="B707" s="20"/>
      <c r="C707" s="20"/>
    </row>
    <row r="708" spans="1:3" ht="51" customHeight="1">
      <c r="A708" s="20"/>
      <c r="B708" s="20"/>
      <c r="C708" s="20"/>
    </row>
    <row r="709" spans="1:3" ht="51" customHeight="1">
      <c r="A709" s="20"/>
      <c r="B709" s="20"/>
      <c r="C709" s="20"/>
    </row>
    <row r="710" spans="1:3" ht="51" customHeight="1">
      <c r="A710" s="20"/>
      <c r="B710" s="20"/>
      <c r="C710" s="20"/>
    </row>
    <row r="711" spans="1:3" ht="51" customHeight="1">
      <c r="A711" s="20"/>
      <c r="B711" s="20"/>
      <c r="C711" s="20"/>
    </row>
    <row r="712" spans="1:3" ht="51" customHeight="1">
      <c r="A712" s="20"/>
      <c r="B712" s="20"/>
      <c r="C712" s="20"/>
    </row>
    <row r="713" spans="1:3" ht="51" customHeight="1">
      <c r="A713" s="20"/>
      <c r="B713" s="20"/>
      <c r="C713" s="20"/>
    </row>
    <row r="714" spans="1:3" ht="51" customHeight="1">
      <c r="A714" s="20"/>
      <c r="B714" s="20"/>
      <c r="C714" s="20"/>
    </row>
    <row r="715" spans="1:3" ht="51" customHeight="1">
      <c r="A715" s="20"/>
      <c r="B715" s="20"/>
      <c r="C715" s="20"/>
    </row>
    <row r="716" spans="1:3" ht="51" customHeight="1">
      <c r="A716" s="20"/>
      <c r="B716" s="20"/>
      <c r="C716" s="20"/>
    </row>
    <row r="717" spans="1:3" ht="51" customHeight="1">
      <c r="A717" s="20"/>
      <c r="B717" s="20"/>
      <c r="C717" s="20"/>
    </row>
    <row r="718" spans="1:3" ht="51" customHeight="1">
      <c r="A718" s="20"/>
      <c r="B718" s="20"/>
      <c r="C718" s="20"/>
    </row>
    <row r="719" spans="1:3" ht="51" customHeight="1">
      <c r="A719" s="20"/>
      <c r="B719" s="20"/>
      <c r="C719" s="20"/>
    </row>
    <row r="720" spans="1:3" ht="51" customHeight="1">
      <c r="A720" s="20"/>
      <c r="B720" s="20"/>
      <c r="C720" s="20"/>
    </row>
    <row r="721" spans="1:3" ht="51" customHeight="1">
      <c r="A721" s="20"/>
      <c r="B721" s="20"/>
      <c r="C721" s="20"/>
    </row>
    <row r="722" spans="1:3" ht="51" customHeight="1">
      <c r="A722" s="20"/>
      <c r="B722" s="20"/>
      <c r="C722" s="20"/>
    </row>
    <row r="723" spans="1:3" ht="51" customHeight="1">
      <c r="A723" s="20"/>
      <c r="B723" s="20"/>
      <c r="C723" s="20"/>
    </row>
    <row r="724" spans="1:3" ht="51" customHeight="1">
      <c r="A724" s="20"/>
      <c r="B724" s="20"/>
      <c r="C724" s="20"/>
    </row>
    <row r="725" spans="1:3" ht="51" customHeight="1">
      <c r="A725" s="20"/>
      <c r="B725" s="20"/>
      <c r="C725" s="20"/>
    </row>
    <row r="726" spans="1:3" ht="51" customHeight="1">
      <c r="A726" s="20"/>
      <c r="B726" s="20"/>
      <c r="C726" s="20"/>
    </row>
    <row r="727" spans="1:3" ht="51" customHeight="1">
      <c r="A727" s="20"/>
      <c r="B727" s="20"/>
      <c r="C727" s="20"/>
    </row>
    <row r="728" spans="1:3" ht="51" customHeight="1">
      <c r="A728" s="20"/>
      <c r="B728" s="20"/>
      <c r="C728" s="20"/>
    </row>
    <row r="729" spans="1:3" ht="51" customHeight="1">
      <c r="A729" s="20"/>
      <c r="B729" s="20"/>
      <c r="C729" s="20"/>
    </row>
    <row r="730" spans="1:3" ht="51" customHeight="1">
      <c r="A730" s="20"/>
      <c r="B730" s="20"/>
      <c r="C730" s="20"/>
    </row>
    <row r="731" spans="1:3" ht="51" customHeight="1">
      <c r="A731" s="20"/>
      <c r="B731" s="20"/>
      <c r="C731" s="20"/>
    </row>
    <row r="732" spans="1:3" ht="51" customHeight="1">
      <c r="A732" s="20"/>
      <c r="B732" s="20"/>
      <c r="C732" s="20"/>
    </row>
    <row r="733" spans="1:3" ht="51" customHeight="1">
      <c r="A733" s="20"/>
      <c r="B733" s="20"/>
      <c r="C733" s="20"/>
    </row>
    <row r="734" spans="1:3" ht="51" customHeight="1">
      <c r="A734" s="20"/>
      <c r="B734" s="20"/>
      <c r="C734" s="20"/>
    </row>
    <row r="735" spans="1:3" ht="51" customHeight="1">
      <c r="A735" s="20"/>
      <c r="B735" s="20"/>
      <c r="C735" s="20"/>
    </row>
    <row r="736" spans="1:3" ht="51" customHeight="1">
      <c r="A736" s="20"/>
      <c r="B736" s="20"/>
      <c r="C736" s="20"/>
    </row>
    <row r="737" spans="1:3" ht="51" customHeight="1">
      <c r="A737" s="20"/>
      <c r="B737" s="20"/>
      <c r="C737" s="20"/>
    </row>
    <row r="738" spans="1:3" ht="51" customHeight="1">
      <c r="A738" s="20"/>
      <c r="B738" s="20"/>
      <c r="C738" s="20"/>
    </row>
    <row r="739" spans="1:3" ht="51" customHeight="1">
      <c r="A739" s="20"/>
      <c r="B739" s="20"/>
      <c r="C739" s="20"/>
    </row>
    <row r="740" spans="1:3" ht="51" customHeight="1">
      <c r="A740" s="20"/>
      <c r="B740" s="20"/>
      <c r="C740" s="20"/>
    </row>
    <row r="741" spans="1:3" ht="51" customHeight="1">
      <c r="A741" s="20"/>
      <c r="B741" s="20"/>
      <c r="C741" s="20"/>
    </row>
    <row r="742" spans="1:3" ht="51" customHeight="1">
      <c r="A742" s="20"/>
      <c r="B742" s="20"/>
      <c r="C742" s="20"/>
    </row>
    <row r="743" spans="1:3" ht="51" customHeight="1">
      <c r="A743" s="20"/>
      <c r="B743" s="20"/>
      <c r="C743" s="20"/>
    </row>
    <row r="744" spans="1:3" ht="51" customHeight="1">
      <c r="A744" s="20"/>
      <c r="B744" s="20"/>
      <c r="C744" s="20"/>
    </row>
    <row r="745" spans="1:3" ht="51" customHeight="1">
      <c r="A745" s="20"/>
      <c r="B745" s="20"/>
      <c r="C745" s="20"/>
    </row>
    <row r="746" spans="1:3" ht="51" customHeight="1">
      <c r="A746" s="20"/>
      <c r="B746" s="20"/>
      <c r="C746" s="20"/>
    </row>
    <row r="747" spans="1:3" ht="51" customHeight="1">
      <c r="A747" s="20"/>
      <c r="B747" s="20"/>
      <c r="C747" s="20"/>
    </row>
    <row r="748" spans="1:3" ht="51" customHeight="1">
      <c r="A748" s="20"/>
      <c r="B748" s="20"/>
      <c r="C748" s="20"/>
    </row>
    <row r="749" spans="1:3" ht="51" customHeight="1">
      <c r="A749" s="20"/>
      <c r="B749" s="20"/>
      <c r="C749" s="20"/>
    </row>
    <row r="750" spans="1:3" ht="51" customHeight="1">
      <c r="A750" s="20"/>
      <c r="B750" s="20"/>
      <c r="C750" s="20"/>
    </row>
    <row r="751" spans="1:3" ht="51" customHeight="1">
      <c r="A751" s="20"/>
      <c r="B751" s="20"/>
      <c r="C751" s="20"/>
    </row>
    <row r="752" spans="1:3" ht="51" customHeight="1">
      <c r="A752" s="20"/>
      <c r="B752" s="20"/>
      <c r="C752" s="20"/>
    </row>
    <row r="753" spans="1:3" ht="51" customHeight="1">
      <c r="A753" s="20"/>
      <c r="B753" s="20"/>
      <c r="C753" s="20"/>
    </row>
    <row r="754" spans="1:3" ht="51" customHeight="1">
      <c r="A754" s="20"/>
      <c r="B754" s="20"/>
      <c r="C754" s="20"/>
    </row>
    <row r="755" spans="1:3" ht="51" customHeight="1">
      <c r="A755" s="20"/>
      <c r="B755" s="20"/>
      <c r="C755" s="20"/>
    </row>
    <row r="756" spans="1:3" ht="51" customHeight="1">
      <c r="A756" s="20"/>
      <c r="B756" s="20"/>
      <c r="C756" s="20"/>
    </row>
    <row r="757" spans="1:3" ht="51" customHeight="1">
      <c r="A757" s="20"/>
      <c r="B757" s="20"/>
      <c r="C757" s="20"/>
    </row>
    <row r="758" spans="1:3" ht="51" customHeight="1">
      <c r="A758" s="20"/>
      <c r="B758" s="20"/>
      <c r="C758" s="20"/>
    </row>
    <row r="759" spans="1:3" ht="51" customHeight="1">
      <c r="A759" s="20"/>
      <c r="B759" s="20"/>
      <c r="C759" s="20"/>
    </row>
    <row r="760" spans="1:3" ht="51" customHeight="1">
      <c r="A760" s="20"/>
      <c r="B760" s="20"/>
      <c r="C760" s="20"/>
    </row>
    <row r="761" spans="1:3" ht="51" customHeight="1">
      <c r="A761" s="20"/>
      <c r="B761" s="20"/>
      <c r="C761" s="20"/>
    </row>
    <row r="762" spans="1:3" ht="51" customHeight="1">
      <c r="A762" s="20"/>
      <c r="B762" s="20"/>
      <c r="C762" s="20"/>
    </row>
    <row r="763" spans="1:3" ht="51" customHeight="1">
      <c r="A763" s="20"/>
      <c r="B763" s="20"/>
      <c r="C763" s="20"/>
    </row>
    <row r="764" spans="1:3" ht="51" customHeight="1">
      <c r="A764" s="20"/>
      <c r="B764" s="20"/>
      <c r="C764" s="20"/>
    </row>
    <row r="765" spans="1:3" ht="51" customHeight="1">
      <c r="A765" s="20"/>
      <c r="B765" s="20"/>
      <c r="C765" s="20"/>
    </row>
    <row r="766" spans="1:3" ht="51" customHeight="1">
      <c r="A766" s="20"/>
      <c r="B766" s="20"/>
      <c r="C766" s="20"/>
    </row>
    <row r="767" spans="1:3" ht="51" customHeight="1">
      <c r="A767" s="20"/>
      <c r="B767" s="20"/>
      <c r="C767" s="20"/>
    </row>
    <row r="768" spans="1:3" ht="51" customHeight="1">
      <c r="A768" s="20"/>
      <c r="B768" s="20"/>
      <c r="C768" s="20"/>
    </row>
    <row r="769" spans="1:3" ht="51" customHeight="1">
      <c r="A769" s="20"/>
      <c r="B769" s="20"/>
      <c r="C769" s="20"/>
    </row>
    <row r="770" spans="1:3" ht="51" customHeight="1">
      <c r="A770" s="20"/>
      <c r="B770" s="20"/>
      <c r="C770" s="20"/>
    </row>
    <row r="771" spans="1:3" ht="51" customHeight="1">
      <c r="A771" s="20"/>
      <c r="B771" s="20"/>
      <c r="C771" s="20"/>
    </row>
    <row r="772" spans="1:3" ht="51" customHeight="1">
      <c r="A772" s="20"/>
      <c r="B772" s="20"/>
      <c r="C772" s="20"/>
    </row>
    <row r="773" spans="1:3" ht="51" customHeight="1">
      <c r="A773" s="20"/>
      <c r="B773" s="20"/>
      <c r="C773" s="20"/>
    </row>
    <row r="774" spans="1:3" ht="51" customHeight="1">
      <c r="A774" s="20"/>
      <c r="B774" s="20"/>
      <c r="C774" s="20"/>
    </row>
    <row r="775" spans="1:3" ht="51" customHeight="1">
      <c r="A775" s="20"/>
      <c r="B775" s="20"/>
      <c r="C775" s="20"/>
    </row>
    <row r="776" spans="1:3" ht="51" customHeight="1">
      <c r="A776" s="20"/>
      <c r="B776" s="20"/>
      <c r="C776" s="20"/>
    </row>
    <row r="777" spans="1:3" ht="51" customHeight="1">
      <c r="A777" s="20"/>
      <c r="B777" s="20"/>
      <c r="C777" s="20"/>
    </row>
    <row r="778" spans="1:3" ht="51" customHeight="1">
      <c r="A778" s="20"/>
      <c r="B778" s="20"/>
      <c r="C778" s="20"/>
    </row>
    <row r="779" spans="1:3" ht="51" customHeight="1">
      <c r="A779" s="20"/>
      <c r="B779" s="20"/>
      <c r="C779" s="20"/>
    </row>
    <row r="780" spans="1:3" ht="51" customHeight="1">
      <c r="A780" s="20"/>
      <c r="B780" s="20"/>
      <c r="C780" s="20"/>
    </row>
    <row r="781" spans="1:3" ht="51" customHeight="1">
      <c r="A781" s="20"/>
      <c r="B781" s="20"/>
      <c r="C781" s="20"/>
    </row>
    <row r="782" spans="1:3" ht="51" customHeight="1">
      <c r="A782" s="20"/>
      <c r="B782" s="20"/>
      <c r="C782" s="20"/>
    </row>
    <row r="783" spans="1:3" ht="51" customHeight="1">
      <c r="A783" s="20"/>
      <c r="B783" s="20"/>
      <c r="C783" s="20"/>
    </row>
    <row r="784" spans="1:3" ht="51" customHeight="1">
      <c r="A784" s="20"/>
      <c r="B784" s="20"/>
      <c r="C784" s="20"/>
    </row>
    <row r="785" spans="1:3" ht="51" customHeight="1">
      <c r="A785" s="20"/>
      <c r="B785" s="20"/>
      <c r="C785" s="20"/>
    </row>
    <row r="786" spans="1:3" ht="51" customHeight="1">
      <c r="A786" s="20"/>
      <c r="B786" s="20"/>
      <c r="C786" s="20"/>
    </row>
    <row r="787" spans="1:3" ht="51" customHeight="1">
      <c r="A787" s="20"/>
      <c r="B787" s="20"/>
      <c r="C787" s="20"/>
    </row>
    <row r="788" spans="1:3" ht="51" customHeight="1">
      <c r="A788" s="20"/>
      <c r="B788" s="20"/>
      <c r="C788" s="20"/>
    </row>
    <row r="789" spans="1:3" ht="51" customHeight="1">
      <c r="A789" s="20"/>
      <c r="B789" s="20"/>
      <c r="C789" s="20"/>
    </row>
    <row r="790" spans="1:3" ht="51" customHeight="1">
      <c r="A790" s="20"/>
      <c r="B790" s="20"/>
      <c r="C790" s="20"/>
    </row>
    <row r="791" spans="1:3" ht="51" customHeight="1">
      <c r="A791" s="20"/>
      <c r="B791" s="20"/>
      <c r="C791" s="20"/>
    </row>
    <row r="792" spans="1:3" ht="51" customHeight="1">
      <c r="A792" s="20"/>
      <c r="B792" s="20"/>
      <c r="C792" s="20"/>
    </row>
    <row r="793" spans="1:3" ht="51" customHeight="1">
      <c r="A793" s="20"/>
      <c r="B793" s="20"/>
      <c r="C793" s="20"/>
    </row>
    <row r="794" spans="1:3" ht="51" customHeight="1">
      <c r="A794" s="20"/>
      <c r="B794" s="20"/>
      <c r="C794" s="20"/>
    </row>
    <row r="795" spans="1:3" ht="51" customHeight="1">
      <c r="A795" s="20"/>
      <c r="B795" s="20"/>
      <c r="C795" s="20"/>
    </row>
    <row r="796" spans="1:3" ht="51" customHeight="1">
      <c r="A796" s="20"/>
      <c r="B796" s="20"/>
      <c r="C796" s="20"/>
    </row>
    <row r="797" spans="1:3" ht="51" customHeight="1">
      <c r="A797" s="20"/>
      <c r="B797" s="20"/>
      <c r="C797" s="20"/>
    </row>
    <row r="798" spans="1:3" ht="51" customHeight="1">
      <c r="A798" s="20"/>
      <c r="B798" s="20"/>
      <c r="C798" s="20"/>
    </row>
    <row r="799" spans="1:3" ht="51" customHeight="1">
      <c r="A799" s="20"/>
      <c r="B799" s="20"/>
      <c r="C799" s="20"/>
    </row>
    <row r="800" spans="1:3" ht="51" customHeight="1">
      <c r="A800" s="20"/>
      <c r="B800" s="20"/>
      <c r="C800" s="20"/>
    </row>
    <row r="801" spans="1:3" ht="51" customHeight="1">
      <c r="A801" s="20"/>
      <c r="B801" s="20"/>
      <c r="C801" s="20"/>
    </row>
    <row r="802" spans="1:3" ht="51" customHeight="1">
      <c r="A802" s="20"/>
      <c r="B802" s="20"/>
      <c r="C802" s="20"/>
    </row>
    <row r="803" spans="1:3" ht="51" customHeight="1">
      <c r="A803" s="20"/>
      <c r="B803" s="20"/>
      <c r="C803" s="20"/>
    </row>
    <row r="804" spans="1:3" ht="51" customHeight="1">
      <c r="A804" s="20"/>
      <c r="B804" s="20"/>
      <c r="C804" s="20"/>
    </row>
    <row r="805" spans="1:3" ht="51" customHeight="1">
      <c r="A805" s="20"/>
      <c r="B805" s="20"/>
      <c r="C805" s="20"/>
    </row>
    <row r="806" spans="1:3" ht="51" customHeight="1">
      <c r="A806" s="20"/>
      <c r="B806" s="20"/>
      <c r="C806" s="20"/>
    </row>
    <row r="807" spans="1:3" ht="51" customHeight="1">
      <c r="A807" s="20"/>
      <c r="B807" s="20"/>
      <c r="C807" s="20"/>
    </row>
    <row r="808" spans="1:3" ht="51" customHeight="1">
      <c r="A808" s="20"/>
      <c r="B808" s="20"/>
      <c r="C808" s="20"/>
    </row>
    <row r="809" spans="1:3" ht="51" customHeight="1">
      <c r="A809" s="20"/>
      <c r="B809" s="20"/>
      <c r="C809" s="20"/>
    </row>
    <row r="810" spans="1:3" ht="51" customHeight="1">
      <c r="A810" s="20"/>
      <c r="B810" s="20"/>
      <c r="C810" s="20"/>
    </row>
    <row r="811" spans="1:3" ht="51" customHeight="1">
      <c r="A811" s="20"/>
      <c r="B811" s="20"/>
      <c r="C811" s="20"/>
    </row>
    <row r="812" spans="1:3" ht="51" customHeight="1">
      <c r="A812" s="20"/>
      <c r="B812" s="20"/>
      <c r="C812" s="20"/>
    </row>
    <row r="813" spans="1:3" ht="51" customHeight="1">
      <c r="A813" s="20"/>
      <c r="B813" s="20"/>
      <c r="C813" s="20"/>
    </row>
    <row r="814" spans="1:3" ht="51" customHeight="1">
      <c r="A814" s="20"/>
      <c r="B814" s="20"/>
      <c r="C814" s="20"/>
    </row>
    <row r="815" spans="1:3" ht="51" customHeight="1">
      <c r="A815" s="20"/>
      <c r="B815" s="20"/>
      <c r="C815" s="20"/>
    </row>
    <row r="816" spans="1:3" ht="51" customHeight="1">
      <c r="A816" s="20"/>
      <c r="B816" s="20"/>
      <c r="C816" s="20"/>
    </row>
    <row r="817" spans="1:3" ht="51" customHeight="1">
      <c r="A817" s="20"/>
      <c r="B817" s="20"/>
      <c r="C817" s="20"/>
    </row>
    <row r="818" spans="1:3" ht="51" customHeight="1">
      <c r="A818" s="20"/>
      <c r="B818" s="20"/>
      <c r="C818" s="20"/>
    </row>
    <row r="819" spans="1:3" ht="51" customHeight="1">
      <c r="A819" s="20"/>
      <c r="B819" s="20"/>
      <c r="C819" s="20"/>
    </row>
    <row r="820" spans="1:3" ht="51" customHeight="1">
      <c r="A820" s="20"/>
      <c r="B820" s="20"/>
      <c r="C820" s="20"/>
    </row>
    <row r="821" spans="1:3" ht="51" customHeight="1">
      <c r="A821" s="20"/>
      <c r="B821" s="20"/>
      <c r="C821" s="20"/>
    </row>
    <row r="822" spans="1:3" ht="51" customHeight="1">
      <c r="A822" s="20"/>
      <c r="B822" s="20"/>
      <c r="C822" s="20"/>
    </row>
    <row r="823" spans="1:3" ht="51" customHeight="1">
      <c r="A823" s="20"/>
      <c r="B823" s="20"/>
      <c r="C823" s="20"/>
    </row>
    <row r="824" spans="1:3" ht="51" customHeight="1">
      <c r="A824" s="20"/>
      <c r="B824" s="20"/>
      <c r="C824" s="20"/>
    </row>
    <row r="825" spans="1:3" ht="51" customHeight="1">
      <c r="A825" s="20"/>
      <c r="B825" s="20"/>
      <c r="C825" s="20"/>
    </row>
    <row r="826" spans="1:3" ht="51" customHeight="1">
      <c r="A826" s="20"/>
      <c r="B826" s="20"/>
      <c r="C826" s="20"/>
    </row>
    <row r="827" spans="1:3" ht="51" customHeight="1">
      <c r="A827" s="20"/>
      <c r="B827" s="20"/>
      <c r="C827" s="20"/>
    </row>
    <row r="828" spans="1:3" ht="51" customHeight="1">
      <c r="A828" s="20"/>
      <c r="B828" s="20"/>
      <c r="C828" s="20"/>
    </row>
    <row r="829" spans="1:3" ht="51" customHeight="1">
      <c r="A829" s="20"/>
      <c r="B829" s="20"/>
      <c r="C829" s="20"/>
    </row>
    <row r="830" spans="1:3" ht="51" customHeight="1">
      <c r="A830" s="20"/>
      <c r="B830" s="20"/>
      <c r="C830" s="20"/>
    </row>
    <row r="831" spans="1:3" ht="51" customHeight="1">
      <c r="A831" s="20"/>
      <c r="B831" s="20"/>
      <c r="C831" s="20"/>
    </row>
    <row r="832" spans="1:3" ht="51" customHeight="1">
      <c r="A832" s="20"/>
      <c r="B832" s="20"/>
      <c r="C832" s="20"/>
    </row>
    <row r="833" spans="1:3" ht="51" customHeight="1">
      <c r="A833" s="20"/>
      <c r="B833" s="20"/>
      <c r="C833" s="20"/>
    </row>
    <row r="834" spans="1:3" ht="51" customHeight="1">
      <c r="A834" s="20"/>
      <c r="B834" s="20"/>
      <c r="C834" s="20"/>
    </row>
    <row r="835" spans="1:3" ht="51" customHeight="1">
      <c r="A835" s="20"/>
      <c r="B835" s="20"/>
      <c r="C835" s="20"/>
    </row>
    <row r="836" spans="1:3" ht="51" customHeight="1">
      <c r="A836" s="20"/>
      <c r="B836" s="20"/>
      <c r="C836" s="20"/>
    </row>
    <row r="837" spans="1:3" ht="51" customHeight="1">
      <c r="A837" s="20"/>
      <c r="B837" s="20"/>
      <c r="C837" s="20"/>
    </row>
    <row r="838" spans="1:3" ht="51" customHeight="1">
      <c r="A838" s="20"/>
      <c r="B838" s="20"/>
      <c r="C838" s="20"/>
    </row>
    <row r="839" spans="1:3" ht="51" customHeight="1">
      <c r="A839" s="20"/>
      <c r="B839" s="20"/>
      <c r="C839" s="20"/>
    </row>
    <row r="840" spans="1:3" ht="51" customHeight="1">
      <c r="A840" s="20"/>
      <c r="B840" s="20"/>
      <c r="C840" s="20"/>
    </row>
    <row r="841" spans="1:3" ht="51" customHeight="1">
      <c r="A841" s="20"/>
      <c r="B841" s="20"/>
      <c r="C841" s="20"/>
    </row>
    <row r="842" spans="1:3" ht="51" customHeight="1">
      <c r="A842" s="20"/>
      <c r="B842" s="20"/>
      <c r="C842" s="20"/>
    </row>
    <row r="843" spans="1:3" ht="51" customHeight="1">
      <c r="A843" s="20"/>
      <c r="B843" s="20"/>
      <c r="C843" s="20"/>
    </row>
    <row r="844" spans="1:3" ht="51" customHeight="1">
      <c r="A844" s="20"/>
      <c r="B844" s="20"/>
      <c r="C844" s="20"/>
    </row>
    <row r="845" spans="1:3" ht="51" customHeight="1">
      <c r="A845" s="20"/>
      <c r="B845" s="20"/>
      <c r="C845" s="20"/>
    </row>
    <row r="846" spans="1:3" ht="51" customHeight="1">
      <c r="A846" s="20"/>
      <c r="B846" s="20"/>
      <c r="C846" s="20"/>
    </row>
    <row r="847" spans="1:3" ht="51" customHeight="1">
      <c r="A847" s="20"/>
      <c r="B847" s="20"/>
      <c r="C847" s="20"/>
    </row>
    <row r="848" spans="1:3" ht="51" customHeight="1">
      <c r="A848" s="20"/>
      <c r="B848" s="20"/>
      <c r="C848" s="20"/>
    </row>
    <row r="849" spans="1:3" ht="51" customHeight="1">
      <c r="A849" s="20"/>
      <c r="B849" s="20"/>
      <c r="C849" s="20"/>
    </row>
    <row r="850" spans="1:3" ht="51" customHeight="1">
      <c r="A850" s="20"/>
      <c r="B850" s="20"/>
      <c r="C850" s="20"/>
    </row>
    <row r="851" spans="1:3" ht="51" customHeight="1">
      <c r="A851" s="20"/>
      <c r="B851" s="20"/>
      <c r="C851" s="20"/>
    </row>
    <row r="852" spans="1:3" ht="51" customHeight="1">
      <c r="A852" s="20"/>
      <c r="B852" s="20"/>
      <c r="C852" s="20"/>
    </row>
    <row r="853" spans="1:3" ht="51" customHeight="1">
      <c r="A853" s="20"/>
      <c r="B853" s="20"/>
      <c r="C853" s="20"/>
    </row>
    <row r="854" spans="1:3" ht="51" customHeight="1">
      <c r="A854" s="20"/>
      <c r="B854" s="20"/>
      <c r="C854" s="20"/>
    </row>
    <row r="855" spans="1:3" ht="51" customHeight="1">
      <c r="A855" s="20"/>
      <c r="B855" s="20"/>
      <c r="C855" s="20"/>
    </row>
    <row r="856" spans="1:3" ht="51" customHeight="1">
      <c r="A856" s="20"/>
      <c r="B856" s="20"/>
      <c r="C856" s="20"/>
    </row>
    <row r="857" spans="1:3" ht="51" customHeight="1">
      <c r="A857" s="20"/>
      <c r="B857" s="20"/>
      <c r="C857" s="20"/>
    </row>
    <row r="858" spans="1:3" ht="51" customHeight="1">
      <c r="A858" s="20"/>
      <c r="B858" s="20"/>
      <c r="C858" s="20"/>
    </row>
    <row r="859" spans="1:3" ht="51" customHeight="1">
      <c r="A859" s="20"/>
      <c r="B859" s="20"/>
      <c r="C859" s="20"/>
    </row>
    <row r="860" spans="1:3" ht="51" customHeight="1">
      <c r="A860" s="20"/>
      <c r="B860" s="20"/>
      <c r="C860" s="20"/>
    </row>
    <row r="861" spans="1:3" ht="51" customHeight="1">
      <c r="A861" s="20"/>
      <c r="B861" s="20"/>
      <c r="C861" s="20"/>
    </row>
    <row r="862" spans="1:3" ht="51" customHeight="1">
      <c r="A862" s="20"/>
      <c r="B862" s="20"/>
      <c r="C862" s="20"/>
    </row>
    <row r="863" spans="1:3" ht="51" customHeight="1">
      <c r="A863" s="20"/>
      <c r="B863" s="20"/>
      <c r="C863" s="20"/>
    </row>
    <row r="864" spans="1:3" ht="51" customHeight="1">
      <c r="A864" s="20"/>
      <c r="B864" s="20"/>
      <c r="C864" s="20"/>
    </row>
    <row r="865" spans="1:3" ht="51" customHeight="1">
      <c r="A865" s="20"/>
      <c r="B865" s="20"/>
      <c r="C865" s="20"/>
    </row>
    <row r="866" spans="1:3" ht="51" customHeight="1">
      <c r="A866" s="20"/>
      <c r="B866" s="20"/>
      <c r="C866" s="20"/>
    </row>
    <row r="867" spans="1:3" ht="51" customHeight="1">
      <c r="A867" s="20"/>
      <c r="B867" s="20"/>
      <c r="C867" s="20"/>
    </row>
    <row r="868" spans="1:3" ht="51" customHeight="1">
      <c r="A868" s="20"/>
      <c r="B868" s="20"/>
      <c r="C868" s="20"/>
    </row>
    <row r="869" spans="1:3" ht="51" customHeight="1">
      <c r="A869" s="20"/>
      <c r="B869" s="20"/>
      <c r="C869" s="20"/>
    </row>
    <row r="870" spans="1:3" ht="51" customHeight="1">
      <c r="A870" s="20"/>
      <c r="B870" s="20"/>
      <c r="C870" s="20"/>
    </row>
    <row r="871" spans="1:3" ht="51" customHeight="1">
      <c r="A871" s="20"/>
      <c r="B871" s="20"/>
      <c r="C871" s="20"/>
    </row>
    <row r="872" spans="1:3" ht="51" customHeight="1">
      <c r="A872" s="20"/>
      <c r="B872" s="20"/>
      <c r="C872" s="20"/>
    </row>
    <row r="873" spans="1:3" ht="51" customHeight="1">
      <c r="A873" s="20"/>
      <c r="B873" s="20"/>
      <c r="C873" s="20"/>
    </row>
    <row r="874" spans="1:3" ht="51" customHeight="1">
      <c r="A874" s="20"/>
      <c r="B874" s="20"/>
      <c r="C874" s="20"/>
    </row>
    <row r="875" spans="1:3" ht="51" customHeight="1">
      <c r="A875" s="20"/>
      <c r="B875" s="20"/>
      <c r="C875" s="20"/>
    </row>
    <row r="876" spans="1:3" ht="51" customHeight="1">
      <c r="A876" s="20"/>
      <c r="B876" s="20"/>
      <c r="C876" s="20"/>
    </row>
    <row r="877" spans="1:3" ht="51" customHeight="1">
      <c r="A877" s="20"/>
      <c r="B877" s="20"/>
      <c r="C877" s="20"/>
    </row>
    <row r="878" spans="1:3" ht="51" customHeight="1">
      <c r="A878" s="20"/>
      <c r="B878" s="20"/>
      <c r="C878" s="20"/>
    </row>
    <row r="879" spans="1:3" ht="51" customHeight="1">
      <c r="A879" s="20"/>
      <c r="B879" s="20"/>
      <c r="C879" s="20"/>
    </row>
    <row r="880" spans="1:3" ht="51" customHeight="1">
      <c r="A880" s="20"/>
      <c r="B880" s="20"/>
      <c r="C880" s="20"/>
    </row>
    <row r="881" spans="1:3" ht="51" customHeight="1">
      <c r="A881" s="20"/>
      <c r="B881" s="20"/>
      <c r="C881" s="20"/>
    </row>
    <row r="882" spans="1:3" ht="51" customHeight="1">
      <c r="A882" s="20"/>
      <c r="B882" s="20"/>
      <c r="C882" s="20"/>
    </row>
    <row r="883" spans="1:3" ht="51" customHeight="1">
      <c r="A883" s="20"/>
      <c r="B883" s="20"/>
      <c r="C883" s="20"/>
    </row>
    <row r="884" spans="1:3" ht="51" customHeight="1">
      <c r="A884" s="20"/>
      <c r="B884" s="20"/>
      <c r="C884" s="20"/>
    </row>
    <row r="885" spans="1:3" ht="51" customHeight="1">
      <c r="A885" s="20"/>
      <c r="B885" s="20"/>
      <c r="C885" s="20"/>
    </row>
    <row r="886" spans="1:3" ht="51" customHeight="1">
      <c r="A886" s="20"/>
      <c r="B886" s="20"/>
      <c r="C886" s="20"/>
    </row>
    <row r="887" spans="1:3" ht="51" customHeight="1">
      <c r="A887" s="20"/>
      <c r="B887" s="20"/>
      <c r="C887" s="20"/>
    </row>
    <row r="888" spans="1:3" ht="51" customHeight="1">
      <c r="A888" s="20"/>
      <c r="B888" s="20"/>
      <c r="C888" s="20"/>
    </row>
    <row r="889" spans="1:3" ht="51" customHeight="1">
      <c r="A889" s="20"/>
      <c r="B889" s="20"/>
      <c r="C889" s="20"/>
    </row>
    <row r="890" spans="1:3" ht="51" customHeight="1">
      <c r="A890" s="20"/>
      <c r="B890" s="20"/>
      <c r="C890" s="20"/>
    </row>
    <row r="891" spans="1:3" ht="51" customHeight="1">
      <c r="A891" s="20"/>
      <c r="B891" s="20"/>
      <c r="C891" s="20"/>
    </row>
    <row r="892" spans="1:3" ht="51" customHeight="1">
      <c r="A892" s="20"/>
      <c r="B892" s="20"/>
      <c r="C892" s="20"/>
    </row>
    <row r="893" spans="1:3" ht="51" customHeight="1">
      <c r="A893" s="20"/>
      <c r="B893" s="20"/>
      <c r="C893" s="20"/>
    </row>
    <row r="894" spans="1:3" ht="51" customHeight="1">
      <c r="A894" s="20"/>
      <c r="B894" s="20"/>
      <c r="C894" s="20"/>
    </row>
    <row r="895" spans="1:3" ht="51" customHeight="1">
      <c r="A895" s="20"/>
      <c r="B895" s="20"/>
      <c r="C895" s="20"/>
    </row>
    <row r="896" spans="1:3" ht="51" customHeight="1">
      <c r="A896" s="20"/>
      <c r="B896" s="20"/>
      <c r="C896" s="20"/>
    </row>
    <row r="897" spans="1:3" ht="51" customHeight="1">
      <c r="A897" s="20"/>
      <c r="B897" s="20"/>
      <c r="C897" s="20"/>
    </row>
    <row r="898" spans="1:3" ht="51" customHeight="1">
      <c r="A898" s="20"/>
      <c r="B898" s="20"/>
      <c r="C898" s="20"/>
    </row>
    <row r="899" spans="1:3" ht="51" customHeight="1">
      <c r="A899" s="20"/>
      <c r="B899" s="20"/>
      <c r="C899" s="20"/>
    </row>
    <row r="900" spans="1:3" ht="51" customHeight="1">
      <c r="A900" s="20"/>
      <c r="B900" s="20"/>
      <c r="C900" s="20"/>
    </row>
    <row r="901" spans="1:3" ht="51" customHeight="1">
      <c r="A901" s="20"/>
      <c r="B901" s="20"/>
      <c r="C901" s="20"/>
    </row>
    <row r="902" spans="1:3" ht="51" customHeight="1">
      <c r="A902" s="20"/>
      <c r="B902" s="20"/>
      <c r="C902" s="20"/>
    </row>
    <row r="903" spans="1:3" ht="51" customHeight="1">
      <c r="A903" s="20"/>
      <c r="B903" s="20"/>
      <c r="C903" s="20"/>
    </row>
    <row r="904" spans="1:3" ht="51" customHeight="1">
      <c r="A904" s="20"/>
      <c r="B904" s="20"/>
      <c r="C904" s="20"/>
    </row>
    <row r="905" spans="1:3" ht="51" customHeight="1">
      <c r="A905" s="20"/>
      <c r="B905" s="20"/>
      <c r="C905" s="20"/>
    </row>
    <row r="906" spans="1:3" ht="51" customHeight="1">
      <c r="A906" s="20"/>
      <c r="B906" s="20"/>
      <c r="C906" s="20"/>
    </row>
    <row r="907" spans="1:3" ht="51" customHeight="1">
      <c r="A907" s="20"/>
      <c r="B907" s="20"/>
      <c r="C907" s="20"/>
    </row>
    <row r="908" spans="1:3" ht="51" customHeight="1">
      <c r="A908" s="20"/>
      <c r="B908" s="20"/>
      <c r="C908" s="20"/>
    </row>
    <row r="909" spans="1:3" ht="51" customHeight="1">
      <c r="A909" s="20"/>
      <c r="B909" s="20"/>
      <c r="C909" s="20"/>
    </row>
    <row r="910" spans="1:3" ht="51" customHeight="1">
      <c r="A910" s="20"/>
      <c r="B910" s="20"/>
      <c r="C910" s="20"/>
    </row>
  </sheetData>
  <mergeCells count="6">
    <mergeCell ref="B2:D2"/>
    <mergeCell ref="A9:D9"/>
    <mergeCell ref="A10:D10"/>
    <mergeCell ref="A11:D11"/>
    <mergeCell ref="C3:D3"/>
    <mergeCell ref="C4:D4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89" zoomScaleNormal="100" zoomScaleSheetLayoutView="89" workbookViewId="0">
      <selection activeCell="B9" sqref="B9"/>
    </sheetView>
  </sheetViews>
  <sheetFormatPr defaultRowHeight="18"/>
  <cols>
    <col min="1" max="1" width="14.88671875" style="113" customWidth="1"/>
    <col min="2" max="2" width="40" style="113" customWidth="1"/>
    <col min="3" max="3" width="56.109375" style="113" customWidth="1"/>
    <col min="4" max="14" width="9.109375" style="113"/>
  </cols>
  <sheetData>
    <row r="1" spans="1:14">
      <c r="C1" s="241" t="s">
        <v>433</v>
      </c>
      <c r="D1"/>
      <c r="E1"/>
      <c r="F1"/>
      <c r="G1"/>
      <c r="H1"/>
      <c r="I1"/>
      <c r="J1"/>
      <c r="K1"/>
      <c r="L1"/>
      <c r="M1"/>
      <c r="N1"/>
    </row>
    <row r="2" spans="1:14">
      <c r="C2" s="240" t="s">
        <v>931</v>
      </c>
      <c r="D2"/>
      <c r="E2"/>
      <c r="F2"/>
      <c r="G2"/>
      <c r="H2"/>
      <c r="I2"/>
      <c r="J2"/>
      <c r="K2"/>
      <c r="L2"/>
      <c r="M2"/>
      <c r="N2"/>
    </row>
    <row r="3" spans="1:14">
      <c r="C3" s="240" t="s">
        <v>836</v>
      </c>
      <c r="D3"/>
      <c r="E3"/>
      <c r="F3"/>
      <c r="G3"/>
      <c r="H3"/>
      <c r="I3"/>
      <c r="J3"/>
      <c r="K3"/>
      <c r="L3"/>
      <c r="M3"/>
      <c r="N3"/>
    </row>
    <row r="4" spans="1:14">
      <c r="C4" s="240" t="s">
        <v>934</v>
      </c>
      <c r="D4"/>
      <c r="E4"/>
      <c r="F4"/>
      <c r="G4"/>
      <c r="H4"/>
      <c r="I4"/>
      <c r="J4"/>
      <c r="K4"/>
      <c r="L4"/>
      <c r="M4"/>
      <c r="N4"/>
    </row>
    <row r="5" spans="1:14">
      <c r="A5" s="351" t="s">
        <v>837</v>
      </c>
      <c r="B5" s="351"/>
      <c r="C5" s="351"/>
      <c r="D5"/>
      <c r="E5"/>
      <c r="F5"/>
      <c r="G5"/>
      <c r="H5"/>
      <c r="I5"/>
      <c r="J5"/>
      <c r="K5"/>
      <c r="L5"/>
      <c r="M5"/>
      <c r="N5"/>
    </row>
    <row r="6" spans="1:14">
      <c r="A6" s="352" t="s">
        <v>838</v>
      </c>
      <c r="B6" s="352"/>
      <c r="C6" s="352"/>
      <c r="D6"/>
      <c r="E6"/>
      <c r="F6"/>
      <c r="G6"/>
      <c r="H6"/>
      <c r="I6"/>
      <c r="J6"/>
      <c r="K6"/>
      <c r="L6"/>
      <c r="M6"/>
      <c r="N6"/>
    </row>
    <row r="7" spans="1:14" ht="21.15" customHeight="1">
      <c r="A7" s="352" t="s">
        <v>546</v>
      </c>
      <c r="B7" s="352"/>
      <c r="C7" s="352"/>
      <c r="D7"/>
      <c r="E7"/>
      <c r="F7"/>
      <c r="G7"/>
      <c r="H7"/>
      <c r="I7"/>
      <c r="J7"/>
      <c r="K7"/>
      <c r="L7"/>
      <c r="M7"/>
      <c r="N7"/>
    </row>
    <row r="8" spans="1:14">
      <c r="D8"/>
      <c r="E8"/>
      <c r="F8"/>
      <c r="G8"/>
      <c r="H8"/>
      <c r="I8"/>
      <c r="J8"/>
      <c r="K8"/>
      <c r="L8"/>
      <c r="M8"/>
      <c r="N8"/>
    </row>
    <row r="9" spans="1:14" ht="54">
      <c r="A9" s="247" t="s">
        <v>839</v>
      </c>
      <c r="B9" s="247" t="s">
        <v>840</v>
      </c>
      <c r="C9" s="247" t="s">
        <v>242</v>
      </c>
      <c r="D9"/>
      <c r="E9"/>
      <c r="F9"/>
      <c r="G9"/>
      <c r="H9"/>
      <c r="I9"/>
      <c r="J9"/>
      <c r="K9"/>
      <c r="L9"/>
      <c r="M9"/>
      <c r="N9"/>
    </row>
    <row r="10" spans="1:14" ht="72">
      <c r="A10" s="248">
        <v>955</v>
      </c>
      <c r="B10" s="249"/>
      <c r="C10" s="249" t="s">
        <v>841</v>
      </c>
      <c r="D10"/>
      <c r="E10"/>
      <c r="F10"/>
      <c r="G10"/>
      <c r="H10"/>
      <c r="I10"/>
      <c r="J10"/>
      <c r="K10"/>
      <c r="L10"/>
      <c r="M10"/>
      <c r="N10"/>
    </row>
    <row r="11" spans="1:14" ht="42" customHeight="1">
      <c r="A11" s="248">
        <v>955</v>
      </c>
      <c r="B11" s="248" t="s">
        <v>844</v>
      </c>
      <c r="C11" s="250" t="s">
        <v>842</v>
      </c>
      <c r="D11"/>
      <c r="E11"/>
      <c r="F11"/>
      <c r="G11"/>
      <c r="H11"/>
      <c r="I11"/>
      <c r="J11"/>
      <c r="K11"/>
      <c r="L11"/>
      <c r="M11"/>
      <c r="N11"/>
    </row>
    <row r="12" spans="1:14" ht="36">
      <c r="A12" s="248">
        <v>955</v>
      </c>
      <c r="B12" s="248" t="s">
        <v>843</v>
      </c>
      <c r="C12" s="249" t="s">
        <v>547</v>
      </c>
      <c r="D12"/>
      <c r="E12"/>
      <c r="F12"/>
      <c r="G12"/>
      <c r="H12"/>
      <c r="I12"/>
      <c r="J12"/>
      <c r="K12"/>
      <c r="L12"/>
      <c r="M12"/>
      <c r="N12"/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76"/>
  <sheetViews>
    <sheetView view="pageBreakPreview" zoomScale="93" zoomScaleNormal="90" zoomScaleSheetLayoutView="93" workbookViewId="0">
      <selection activeCell="C1" sqref="C1"/>
    </sheetView>
  </sheetViews>
  <sheetFormatPr defaultRowHeight="15.6" outlineLevelRow="1"/>
  <cols>
    <col min="1" max="1" width="31" style="242" customWidth="1"/>
    <col min="2" max="2" width="73.6640625" style="2" customWidth="1"/>
    <col min="3" max="3" width="21.44140625" style="2" customWidth="1"/>
    <col min="4" max="4" width="7" style="7" customWidth="1"/>
    <col min="5" max="5" width="5.44140625" style="7" customWidth="1"/>
    <col min="6" max="194" width="9.109375" style="7"/>
    <col min="195" max="195" width="26.44140625" style="7" customWidth="1"/>
    <col min="196" max="196" width="78.44140625" style="7" customWidth="1"/>
    <col min="197" max="197" width="19.6640625" style="7" customWidth="1"/>
    <col min="198" max="256" width="9.109375" style="7"/>
    <col min="257" max="257" width="24.33203125" style="7" customWidth="1"/>
    <col min="258" max="258" width="78.44140625" style="7" customWidth="1"/>
    <col min="259" max="259" width="18.109375" style="7" customWidth="1"/>
    <col min="260" max="260" width="7" style="7" customWidth="1"/>
    <col min="261" max="261" width="5.44140625" style="7" customWidth="1"/>
    <col min="262" max="450" width="9.109375" style="7"/>
    <col min="451" max="451" width="26.44140625" style="7" customWidth="1"/>
    <col min="452" max="452" width="78.44140625" style="7" customWidth="1"/>
    <col min="453" max="453" width="19.6640625" style="7" customWidth="1"/>
    <col min="454" max="512" width="9.109375" style="7"/>
    <col min="513" max="513" width="24.33203125" style="7" customWidth="1"/>
    <col min="514" max="514" width="78.44140625" style="7" customWidth="1"/>
    <col min="515" max="515" width="18.109375" style="7" customWidth="1"/>
    <col min="516" max="516" width="7" style="7" customWidth="1"/>
    <col min="517" max="517" width="5.44140625" style="7" customWidth="1"/>
    <col min="518" max="706" width="9.109375" style="7"/>
    <col min="707" max="707" width="26.44140625" style="7" customWidth="1"/>
    <col min="708" max="708" width="78.44140625" style="7" customWidth="1"/>
    <col min="709" max="709" width="19.6640625" style="7" customWidth="1"/>
    <col min="710" max="768" width="9.109375" style="7"/>
    <col min="769" max="769" width="24.33203125" style="7" customWidth="1"/>
    <col min="770" max="770" width="78.44140625" style="7" customWidth="1"/>
    <col min="771" max="771" width="18.109375" style="7" customWidth="1"/>
    <col min="772" max="772" width="7" style="7" customWidth="1"/>
    <col min="773" max="773" width="5.44140625" style="7" customWidth="1"/>
    <col min="774" max="962" width="9.109375" style="7"/>
    <col min="963" max="963" width="26.44140625" style="7" customWidth="1"/>
    <col min="964" max="964" width="78.44140625" style="7" customWidth="1"/>
    <col min="965" max="965" width="19.6640625" style="7" customWidth="1"/>
    <col min="966" max="1024" width="9.109375" style="7"/>
    <col min="1025" max="1025" width="24.33203125" style="7" customWidth="1"/>
    <col min="1026" max="1026" width="78.44140625" style="7" customWidth="1"/>
    <col min="1027" max="1027" width="18.109375" style="7" customWidth="1"/>
    <col min="1028" max="1028" width="7" style="7" customWidth="1"/>
    <col min="1029" max="1029" width="5.44140625" style="7" customWidth="1"/>
    <col min="1030" max="1218" width="9.109375" style="7"/>
    <col min="1219" max="1219" width="26.44140625" style="7" customWidth="1"/>
    <col min="1220" max="1220" width="78.44140625" style="7" customWidth="1"/>
    <col min="1221" max="1221" width="19.6640625" style="7" customWidth="1"/>
    <col min="1222" max="1280" width="9.109375" style="7"/>
    <col min="1281" max="1281" width="24.33203125" style="7" customWidth="1"/>
    <col min="1282" max="1282" width="78.44140625" style="7" customWidth="1"/>
    <col min="1283" max="1283" width="18.109375" style="7" customWidth="1"/>
    <col min="1284" max="1284" width="7" style="7" customWidth="1"/>
    <col min="1285" max="1285" width="5.44140625" style="7" customWidth="1"/>
    <col min="1286" max="1474" width="9.109375" style="7"/>
    <col min="1475" max="1475" width="26.44140625" style="7" customWidth="1"/>
    <col min="1476" max="1476" width="78.44140625" style="7" customWidth="1"/>
    <col min="1477" max="1477" width="19.6640625" style="7" customWidth="1"/>
    <col min="1478" max="1536" width="9.109375" style="7"/>
    <col min="1537" max="1537" width="24.33203125" style="7" customWidth="1"/>
    <col min="1538" max="1538" width="78.44140625" style="7" customWidth="1"/>
    <col min="1539" max="1539" width="18.109375" style="7" customWidth="1"/>
    <col min="1540" max="1540" width="7" style="7" customWidth="1"/>
    <col min="1541" max="1541" width="5.44140625" style="7" customWidth="1"/>
    <col min="1542" max="1730" width="9.109375" style="7"/>
    <col min="1731" max="1731" width="26.44140625" style="7" customWidth="1"/>
    <col min="1732" max="1732" width="78.44140625" style="7" customWidth="1"/>
    <col min="1733" max="1733" width="19.6640625" style="7" customWidth="1"/>
    <col min="1734" max="1792" width="9.109375" style="7"/>
    <col min="1793" max="1793" width="24.33203125" style="7" customWidth="1"/>
    <col min="1794" max="1794" width="78.44140625" style="7" customWidth="1"/>
    <col min="1795" max="1795" width="18.109375" style="7" customWidth="1"/>
    <col min="1796" max="1796" width="7" style="7" customWidth="1"/>
    <col min="1797" max="1797" width="5.44140625" style="7" customWidth="1"/>
    <col min="1798" max="1986" width="9.109375" style="7"/>
    <col min="1987" max="1987" width="26.44140625" style="7" customWidth="1"/>
    <col min="1988" max="1988" width="78.44140625" style="7" customWidth="1"/>
    <col min="1989" max="1989" width="19.6640625" style="7" customWidth="1"/>
    <col min="1990" max="2048" width="9.109375" style="7"/>
    <col min="2049" max="2049" width="24.33203125" style="7" customWidth="1"/>
    <col min="2050" max="2050" width="78.44140625" style="7" customWidth="1"/>
    <col min="2051" max="2051" width="18.109375" style="7" customWidth="1"/>
    <col min="2052" max="2052" width="7" style="7" customWidth="1"/>
    <col min="2053" max="2053" width="5.44140625" style="7" customWidth="1"/>
    <col min="2054" max="2242" width="9.109375" style="7"/>
    <col min="2243" max="2243" width="26.44140625" style="7" customWidth="1"/>
    <col min="2244" max="2244" width="78.44140625" style="7" customWidth="1"/>
    <col min="2245" max="2245" width="19.6640625" style="7" customWidth="1"/>
    <col min="2246" max="2304" width="9.109375" style="7"/>
    <col min="2305" max="2305" width="24.33203125" style="7" customWidth="1"/>
    <col min="2306" max="2306" width="78.44140625" style="7" customWidth="1"/>
    <col min="2307" max="2307" width="18.109375" style="7" customWidth="1"/>
    <col min="2308" max="2308" width="7" style="7" customWidth="1"/>
    <col min="2309" max="2309" width="5.44140625" style="7" customWidth="1"/>
    <col min="2310" max="2498" width="9.109375" style="7"/>
    <col min="2499" max="2499" width="26.44140625" style="7" customWidth="1"/>
    <col min="2500" max="2500" width="78.44140625" style="7" customWidth="1"/>
    <col min="2501" max="2501" width="19.6640625" style="7" customWidth="1"/>
    <col min="2502" max="2560" width="9.109375" style="7"/>
    <col min="2561" max="2561" width="24.33203125" style="7" customWidth="1"/>
    <col min="2562" max="2562" width="78.44140625" style="7" customWidth="1"/>
    <col min="2563" max="2563" width="18.109375" style="7" customWidth="1"/>
    <col min="2564" max="2564" width="7" style="7" customWidth="1"/>
    <col min="2565" max="2565" width="5.44140625" style="7" customWidth="1"/>
    <col min="2566" max="2754" width="9.109375" style="7"/>
    <col min="2755" max="2755" width="26.44140625" style="7" customWidth="1"/>
    <col min="2756" max="2756" width="78.44140625" style="7" customWidth="1"/>
    <col min="2757" max="2757" width="19.6640625" style="7" customWidth="1"/>
    <col min="2758" max="2816" width="9.109375" style="7"/>
    <col min="2817" max="2817" width="24.33203125" style="7" customWidth="1"/>
    <col min="2818" max="2818" width="78.44140625" style="7" customWidth="1"/>
    <col min="2819" max="2819" width="18.109375" style="7" customWidth="1"/>
    <col min="2820" max="2820" width="7" style="7" customWidth="1"/>
    <col min="2821" max="2821" width="5.44140625" style="7" customWidth="1"/>
    <col min="2822" max="3010" width="9.109375" style="7"/>
    <col min="3011" max="3011" width="26.44140625" style="7" customWidth="1"/>
    <col min="3012" max="3012" width="78.44140625" style="7" customWidth="1"/>
    <col min="3013" max="3013" width="19.6640625" style="7" customWidth="1"/>
    <col min="3014" max="3072" width="9.109375" style="7"/>
    <col min="3073" max="3073" width="24.33203125" style="7" customWidth="1"/>
    <col min="3074" max="3074" width="78.44140625" style="7" customWidth="1"/>
    <col min="3075" max="3075" width="18.109375" style="7" customWidth="1"/>
    <col min="3076" max="3076" width="7" style="7" customWidth="1"/>
    <col min="3077" max="3077" width="5.44140625" style="7" customWidth="1"/>
    <col min="3078" max="3266" width="9.109375" style="7"/>
    <col min="3267" max="3267" width="26.44140625" style="7" customWidth="1"/>
    <col min="3268" max="3268" width="78.44140625" style="7" customWidth="1"/>
    <col min="3269" max="3269" width="19.6640625" style="7" customWidth="1"/>
    <col min="3270" max="3328" width="9.109375" style="7"/>
    <col min="3329" max="3329" width="24.33203125" style="7" customWidth="1"/>
    <col min="3330" max="3330" width="78.44140625" style="7" customWidth="1"/>
    <col min="3331" max="3331" width="18.109375" style="7" customWidth="1"/>
    <col min="3332" max="3332" width="7" style="7" customWidth="1"/>
    <col min="3333" max="3333" width="5.44140625" style="7" customWidth="1"/>
    <col min="3334" max="3522" width="9.109375" style="7"/>
    <col min="3523" max="3523" width="26.44140625" style="7" customWidth="1"/>
    <col min="3524" max="3524" width="78.44140625" style="7" customWidth="1"/>
    <col min="3525" max="3525" width="19.6640625" style="7" customWidth="1"/>
    <col min="3526" max="3584" width="9.109375" style="7"/>
    <col min="3585" max="3585" width="24.33203125" style="7" customWidth="1"/>
    <col min="3586" max="3586" width="78.44140625" style="7" customWidth="1"/>
    <col min="3587" max="3587" width="18.109375" style="7" customWidth="1"/>
    <col min="3588" max="3588" width="7" style="7" customWidth="1"/>
    <col min="3589" max="3589" width="5.44140625" style="7" customWidth="1"/>
    <col min="3590" max="3778" width="9.109375" style="7"/>
    <col min="3779" max="3779" width="26.44140625" style="7" customWidth="1"/>
    <col min="3780" max="3780" width="78.44140625" style="7" customWidth="1"/>
    <col min="3781" max="3781" width="19.6640625" style="7" customWidth="1"/>
    <col min="3782" max="3840" width="9.109375" style="7"/>
    <col min="3841" max="3841" width="24.33203125" style="7" customWidth="1"/>
    <col min="3842" max="3842" width="78.44140625" style="7" customWidth="1"/>
    <col min="3843" max="3843" width="18.109375" style="7" customWidth="1"/>
    <col min="3844" max="3844" width="7" style="7" customWidth="1"/>
    <col min="3845" max="3845" width="5.44140625" style="7" customWidth="1"/>
    <col min="3846" max="4034" width="9.109375" style="7"/>
    <col min="4035" max="4035" width="26.44140625" style="7" customWidth="1"/>
    <col min="4036" max="4036" width="78.44140625" style="7" customWidth="1"/>
    <col min="4037" max="4037" width="19.6640625" style="7" customWidth="1"/>
    <col min="4038" max="4096" width="9.109375" style="7"/>
    <col min="4097" max="4097" width="24.33203125" style="7" customWidth="1"/>
    <col min="4098" max="4098" width="78.44140625" style="7" customWidth="1"/>
    <col min="4099" max="4099" width="18.109375" style="7" customWidth="1"/>
    <col min="4100" max="4100" width="7" style="7" customWidth="1"/>
    <col min="4101" max="4101" width="5.44140625" style="7" customWidth="1"/>
    <col min="4102" max="4290" width="9.109375" style="7"/>
    <col min="4291" max="4291" width="26.44140625" style="7" customWidth="1"/>
    <col min="4292" max="4292" width="78.44140625" style="7" customWidth="1"/>
    <col min="4293" max="4293" width="19.6640625" style="7" customWidth="1"/>
    <col min="4294" max="4352" width="9.109375" style="7"/>
    <col min="4353" max="4353" width="24.33203125" style="7" customWidth="1"/>
    <col min="4354" max="4354" width="78.44140625" style="7" customWidth="1"/>
    <col min="4355" max="4355" width="18.109375" style="7" customWidth="1"/>
    <col min="4356" max="4356" width="7" style="7" customWidth="1"/>
    <col min="4357" max="4357" width="5.44140625" style="7" customWidth="1"/>
    <col min="4358" max="4546" width="9.109375" style="7"/>
    <col min="4547" max="4547" width="26.44140625" style="7" customWidth="1"/>
    <col min="4548" max="4548" width="78.44140625" style="7" customWidth="1"/>
    <col min="4549" max="4549" width="19.6640625" style="7" customWidth="1"/>
    <col min="4550" max="4608" width="9.109375" style="7"/>
    <col min="4609" max="4609" width="24.33203125" style="7" customWidth="1"/>
    <col min="4610" max="4610" width="78.44140625" style="7" customWidth="1"/>
    <col min="4611" max="4611" width="18.109375" style="7" customWidth="1"/>
    <col min="4612" max="4612" width="7" style="7" customWidth="1"/>
    <col min="4613" max="4613" width="5.44140625" style="7" customWidth="1"/>
    <col min="4614" max="4802" width="9.109375" style="7"/>
    <col min="4803" max="4803" width="26.44140625" style="7" customWidth="1"/>
    <col min="4804" max="4804" width="78.44140625" style="7" customWidth="1"/>
    <col min="4805" max="4805" width="19.6640625" style="7" customWidth="1"/>
    <col min="4806" max="4864" width="9.109375" style="7"/>
    <col min="4865" max="4865" width="24.33203125" style="7" customWidth="1"/>
    <col min="4866" max="4866" width="78.44140625" style="7" customWidth="1"/>
    <col min="4867" max="4867" width="18.109375" style="7" customWidth="1"/>
    <col min="4868" max="4868" width="7" style="7" customWidth="1"/>
    <col min="4869" max="4869" width="5.44140625" style="7" customWidth="1"/>
    <col min="4870" max="5058" width="9.109375" style="7"/>
    <col min="5059" max="5059" width="26.44140625" style="7" customWidth="1"/>
    <col min="5060" max="5060" width="78.44140625" style="7" customWidth="1"/>
    <col min="5061" max="5061" width="19.6640625" style="7" customWidth="1"/>
    <col min="5062" max="5120" width="9.109375" style="7"/>
    <col min="5121" max="5121" width="24.33203125" style="7" customWidth="1"/>
    <col min="5122" max="5122" width="78.44140625" style="7" customWidth="1"/>
    <col min="5123" max="5123" width="18.109375" style="7" customWidth="1"/>
    <col min="5124" max="5124" width="7" style="7" customWidth="1"/>
    <col min="5125" max="5125" width="5.44140625" style="7" customWidth="1"/>
    <col min="5126" max="5314" width="9.109375" style="7"/>
    <col min="5315" max="5315" width="26.44140625" style="7" customWidth="1"/>
    <col min="5316" max="5316" width="78.44140625" style="7" customWidth="1"/>
    <col min="5317" max="5317" width="19.6640625" style="7" customWidth="1"/>
    <col min="5318" max="5376" width="9.109375" style="7"/>
    <col min="5377" max="5377" width="24.33203125" style="7" customWidth="1"/>
    <col min="5378" max="5378" width="78.44140625" style="7" customWidth="1"/>
    <col min="5379" max="5379" width="18.109375" style="7" customWidth="1"/>
    <col min="5380" max="5380" width="7" style="7" customWidth="1"/>
    <col min="5381" max="5381" width="5.44140625" style="7" customWidth="1"/>
    <col min="5382" max="5570" width="9.109375" style="7"/>
    <col min="5571" max="5571" width="26.44140625" style="7" customWidth="1"/>
    <col min="5572" max="5572" width="78.44140625" style="7" customWidth="1"/>
    <col min="5573" max="5573" width="19.6640625" style="7" customWidth="1"/>
    <col min="5574" max="5632" width="9.109375" style="7"/>
    <col min="5633" max="5633" width="24.33203125" style="7" customWidth="1"/>
    <col min="5634" max="5634" width="78.44140625" style="7" customWidth="1"/>
    <col min="5635" max="5635" width="18.109375" style="7" customWidth="1"/>
    <col min="5636" max="5636" width="7" style="7" customWidth="1"/>
    <col min="5637" max="5637" width="5.44140625" style="7" customWidth="1"/>
    <col min="5638" max="5826" width="9.109375" style="7"/>
    <col min="5827" max="5827" width="26.44140625" style="7" customWidth="1"/>
    <col min="5828" max="5828" width="78.44140625" style="7" customWidth="1"/>
    <col min="5829" max="5829" width="19.6640625" style="7" customWidth="1"/>
    <col min="5830" max="5888" width="9.109375" style="7"/>
    <col min="5889" max="5889" width="24.33203125" style="7" customWidth="1"/>
    <col min="5890" max="5890" width="78.44140625" style="7" customWidth="1"/>
    <col min="5891" max="5891" width="18.109375" style="7" customWidth="1"/>
    <col min="5892" max="5892" width="7" style="7" customWidth="1"/>
    <col min="5893" max="5893" width="5.44140625" style="7" customWidth="1"/>
    <col min="5894" max="6082" width="9.109375" style="7"/>
    <col min="6083" max="6083" width="26.44140625" style="7" customWidth="1"/>
    <col min="6084" max="6084" width="78.44140625" style="7" customWidth="1"/>
    <col min="6085" max="6085" width="19.6640625" style="7" customWidth="1"/>
    <col min="6086" max="6144" width="9.109375" style="7"/>
    <col min="6145" max="6145" width="24.33203125" style="7" customWidth="1"/>
    <col min="6146" max="6146" width="78.44140625" style="7" customWidth="1"/>
    <col min="6147" max="6147" width="18.109375" style="7" customWidth="1"/>
    <col min="6148" max="6148" width="7" style="7" customWidth="1"/>
    <col min="6149" max="6149" width="5.44140625" style="7" customWidth="1"/>
    <col min="6150" max="6338" width="9.109375" style="7"/>
    <col min="6339" max="6339" width="26.44140625" style="7" customWidth="1"/>
    <col min="6340" max="6340" width="78.44140625" style="7" customWidth="1"/>
    <col min="6341" max="6341" width="19.6640625" style="7" customWidth="1"/>
    <col min="6342" max="6400" width="9.109375" style="7"/>
    <col min="6401" max="6401" width="24.33203125" style="7" customWidth="1"/>
    <col min="6402" max="6402" width="78.44140625" style="7" customWidth="1"/>
    <col min="6403" max="6403" width="18.109375" style="7" customWidth="1"/>
    <col min="6404" max="6404" width="7" style="7" customWidth="1"/>
    <col min="6405" max="6405" width="5.44140625" style="7" customWidth="1"/>
    <col min="6406" max="6594" width="9.109375" style="7"/>
    <col min="6595" max="6595" width="26.44140625" style="7" customWidth="1"/>
    <col min="6596" max="6596" width="78.44140625" style="7" customWidth="1"/>
    <col min="6597" max="6597" width="19.6640625" style="7" customWidth="1"/>
    <col min="6598" max="6656" width="9.109375" style="7"/>
    <col min="6657" max="6657" width="24.33203125" style="7" customWidth="1"/>
    <col min="6658" max="6658" width="78.44140625" style="7" customWidth="1"/>
    <col min="6659" max="6659" width="18.109375" style="7" customWidth="1"/>
    <col min="6660" max="6660" width="7" style="7" customWidth="1"/>
    <col min="6661" max="6661" width="5.44140625" style="7" customWidth="1"/>
    <col min="6662" max="6850" width="9.109375" style="7"/>
    <col min="6851" max="6851" width="26.44140625" style="7" customWidth="1"/>
    <col min="6852" max="6852" width="78.44140625" style="7" customWidth="1"/>
    <col min="6853" max="6853" width="19.6640625" style="7" customWidth="1"/>
    <col min="6854" max="6912" width="9.109375" style="7"/>
    <col min="6913" max="6913" width="24.33203125" style="7" customWidth="1"/>
    <col min="6914" max="6914" width="78.44140625" style="7" customWidth="1"/>
    <col min="6915" max="6915" width="18.109375" style="7" customWidth="1"/>
    <col min="6916" max="6916" width="7" style="7" customWidth="1"/>
    <col min="6917" max="6917" width="5.44140625" style="7" customWidth="1"/>
    <col min="6918" max="7106" width="9.109375" style="7"/>
    <col min="7107" max="7107" width="26.44140625" style="7" customWidth="1"/>
    <col min="7108" max="7108" width="78.44140625" style="7" customWidth="1"/>
    <col min="7109" max="7109" width="19.6640625" style="7" customWidth="1"/>
    <col min="7110" max="7168" width="9.109375" style="7"/>
    <col min="7169" max="7169" width="24.33203125" style="7" customWidth="1"/>
    <col min="7170" max="7170" width="78.44140625" style="7" customWidth="1"/>
    <col min="7171" max="7171" width="18.109375" style="7" customWidth="1"/>
    <col min="7172" max="7172" width="7" style="7" customWidth="1"/>
    <col min="7173" max="7173" width="5.44140625" style="7" customWidth="1"/>
    <col min="7174" max="7362" width="9.109375" style="7"/>
    <col min="7363" max="7363" width="26.44140625" style="7" customWidth="1"/>
    <col min="7364" max="7364" width="78.44140625" style="7" customWidth="1"/>
    <col min="7365" max="7365" width="19.6640625" style="7" customWidth="1"/>
    <col min="7366" max="7424" width="9.109375" style="7"/>
    <col min="7425" max="7425" width="24.33203125" style="7" customWidth="1"/>
    <col min="7426" max="7426" width="78.44140625" style="7" customWidth="1"/>
    <col min="7427" max="7427" width="18.109375" style="7" customWidth="1"/>
    <col min="7428" max="7428" width="7" style="7" customWidth="1"/>
    <col min="7429" max="7429" width="5.44140625" style="7" customWidth="1"/>
    <col min="7430" max="7618" width="9.109375" style="7"/>
    <col min="7619" max="7619" width="26.44140625" style="7" customWidth="1"/>
    <col min="7620" max="7620" width="78.44140625" style="7" customWidth="1"/>
    <col min="7621" max="7621" width="19.6640625" style="7" customWidth="1"/>
    <col min="7622" max="7680" width="9.109375" style="7"/>
    <col min="7681" max="7681" width="24.33203125" style="7" customWidth="1"/>
    <col min="7682" max="7682" width="78.44140625" style="7" customWidth="1"/>
    <col min="7683" max="7683" width="18.109375" style="7" customWidth="1"/>
    <col min="7684" max="7684" width="7" style="7" customWidth="1"/>
    <col min="7685" max="7685" width="5.44140625" style="7" customWidth="1"/>
    <col min="7686" max="7874" width="9.109375" style="7"/>
    <col min="7875" max="7875" width="26.44140625" style="7" customWidth="1"/>
    <col min="7876" max="7876" width="78.44140625" style="7" customWidth="1"/>
    <col min="7877" max="7877" width="19.6640625" style="7" customWidth="1"/>
    <col min="7878" max="7936" width="9.109375" style="7"/>
    <col min="7937" max="7937" width="24.33203125" style="7" customWidth="1"/>
    <col min="7938" max="7938" width="78.44140625" style="7" customWidth="1"/>
    <col min="7939" max="7939" width="18.109375" style="7" customWidth="1"/>
    <col min="7940" max="7940" width="7" style="7" customWidth="1"/>
    <col min="7941" max="7941" width="5.44140625" style="7" customWidth="1"/>
    <col min="7942" max="8130" width="9.109375" style="7"/>
    <col min="8131" max="8131" width="26.44140625" style="7" customWidth="1"/>
    <col min="8132" max="8132" width="78.44140625" style="7" customWidth="1"/>
    <col min="8133" max="8133" width="19.6640625" style="7" customWidth="1"/>
    <col min="8134" max="8192" width="9.109375" style="7"/>
    <col min="8193" max="8193" width="24.33203125" style="7" customWidth="1"/>
    <col min="8194" max="8194" width="78.44140625" style="7" customWidth="1"/>
    <col min="8195" max="8195" width="18.109375" style="7" customWidth="1"/>
    <col min="8196" max="8196" width="7" style="7" customWidth="1"/>
    <col min="8197" max="8197" width="5.44140625" style="7" customWidth="1"/>
    <col min="8198" max="8386" width="9.109375" style="7"/>
    <col min="8387" max="8387" width="26.44140625" style="7" customWidth="1"/>
    <col min="8388" max="8388" width="78.44140625" style="7" customWidth="1"/>
    <col min="8389" max="8389" width="19.6640625" style="7" customWidth="1"/>
    <col min="8390" max="8448" width="9.109375" style="7"/>
    <col min="8449" max="8449" width="24.33203125" style="7" customWidth="1"/>
    <col min="8450" max="8450" width="78.44140625" style="7" customWidth="1"/>
    <col min="8451" max="8451" width="18.109375" style="7" customWidth="1"/>
    <col min="8452" max="8452" width="7" style="7" customWidth="1"/>
    <col min="8453" max="8453" width="5.44140625" style="7" customWidth="1"/>
    <col min="8454" max="8642" width="9.109375" style="7"/>
    <col min="8643" max="8643" width="26.44140625" style="7" customWidth="1"/>
    <col min="8644" max="8644" width="78.44140625" style="7" customWidth="1"/>
    <col min="8645" max="8645" width="19.6640625" style="7" customWidth="1"/>
    <col min="8646" max="8704" width="9.109375" style="7"/>
    <col min="8705" max="8705" width="24.33203125" style="7" customWidth="1"/>
    <col min="8706" max="8706" width="78.44140625" style="7" customWidth="1"/>
    <col min="8707" max="8707" width="18.109375" style="7" customWidth="1"/>
    <col min="8708" max="8708" width="7" style="7" customWidth="1"/>
    <col min="8709" max="8709" width="5.44140625" style="7" customWidth="1"/>
    <col min="8710" max="8898" width="9.109375" style="7"/>
    <col min="8899" max="8899" width="26.44140625" style="7" customWidth="1"/>
    <col min="8900" max="8900" width="78.44140625" style="7" customWidth="1"/>
    <col min="8901" max="8901" width="19.6640625" style="7" customWidth="1"/>
    <col min="8902" max="8960" width="9.109375" style="7"/>
    <col min="8961" max="8961" width="24.33203125" style="7" customWidth="1"/>
    <col min="8962" max="8962" width="78.44140625" style="7" customWidth="1"/>
    <col min="8963" max="8963" width="18.109375" style="7" customWidth="1"/>
    <col min="8964" max="8964" width="7" style="7" customWidth="1"/>
    <col min="8965" max="8965" width="5.44140625" style="7" customWidth="1"/>
    <col min="8966" max="9154" width="9.109375" style="7"/>
    <col min="9155" max="9155" width="26.44140625" style="7" customWidth="1"/>
    <col min="9156" max="9156" width="78.44140625" style="7" customWidth="1"/>
    <col min="9157" max="9157" width="19.6640625" style="7" customWidth="1"/>
    <col min="9158" max="9216" width="9.109375" style="7"/>
    <col min="9217" max="9217" width="24.33203125" style="7" customWidth="1"/>
    <col min="9218" max="9218" width="78.44140625" style="7" customWidth="1"/>
    <col min="9219" max="9219" width="18.109375" style="7" customWidth="1"/>
    <col min="9220" max="9220" width="7" style="7" customWidth="1"/>
    <col min="9221" max="9221" width="5.44140625" style="7" customWidth="1"/>
    <col min="9222" max="9410" width="9.109375" style="7"/>
    <col min="9411" max="9411" width="26.44140625" style="7" customWidth="1"/>
    <col min="9412" max="9412" width="78.44140625" style="7" customWidth="1"/>
    <col min="9413" max="9413" width="19.6640625" style="7" customWidth="1"/>
    <col min="9414" max="9472" width="9.109375" style="7"/>
    <col min="9473" max="9473" width="24.33203125" style="7" customWidth="1"/>
    <col min="9474" max="9474" width="78.44140625" style="7" customWidth="1"/>
    <col min="9475" max="9475" width="18.109375" style="7" customWidth="1"/>
    <col min="9476" max="9476" width="7" style="7" customWidth="1"/>
    <col min="9477" max="9477" width="5.44140625" style="7" customWidth="1"/>
    <col min="9478" max="9666" width="9.109375" style="7"/>
    <col min="9667" max="9667" width="26.44140625" style="7" customWidth="1"/>
    <col min="9668" max="9668" width="78.44140625" style="7" customWidth="1"/>
    <col min="9669" max="9669" width="19.6640625" style="7" customWidth="1"/>
    <col min="9670" max="9728" width="9.109375" style="7"/>
    <col min="9729" max="9729" width="24.33203125" style="7" customWidth="1"/>
    <col min="9730" max="9730" width="78.44140625" style="7" customWidth="1"/>
    <col min="9731" max="9731" width="18.109375" style="7" customWidth="1"/>
    <col min="9732" max="9732" width="7" style="7" customWidth="1"/>
    <col min="9733" max="9733" width="5.44140625" style="7" customWidth="1"/>
    <col min="9734" max="9922" width="9.109375" style="7"/>
    <col min="9923" max="9923" width="26.44140625" style="7" customWidth="1"/>
    <col min="9924" max="9924" width="78.44140625" style="7" customWidth="1"/>
    <col min="9925" max="9925" width="19.6640625" style="7" customWidth="1"/>
    <col min="9926" max="9984" width="9.109375" style="7"/>
    <col min="9985" max="9985" width="24.33203125" style="7" customWidth="1"/>
    <col min="9986" max="9986" width="78.44140625" style="7" customWidth="1"/>
    <col min="9987" max="9987" width="18.109375" style="7" customWidth="1"/>
    <col min="9988" max="9988" width="7" style="7" customWidth="1"/>
    <col min="9989" max="9989" width="5.44140625" style="7" customWidth="1"/>
    <col min="9990" max="10178" width="9.109375" style="7"/>
    <col min="10179" max="10179" width="26.44140625" style="7" customWidth="1"/>
    <col min="10180" max="10180" width="78.44140625" style="7" customWidth="1"/>
    <col min="10181" max="10181" width="19.6640625" style="7" customWidth="1"/>
    <col min="10182" max="10240" width="9.109375" style="7"/>
    <col min="10241" max="10241" width="24.33203125" style="7" customWidth="1"/>
    <col min="10242" max="10242" width="78.44140625" style="7" customWidth="1"/>
    <col min="10243" max="10243" width="18.109375" style="7" customWidth="1"/>
    <col min="10244" max="10244" width="7" style="7" customWidth="1"/>
    <col min="10245" max="10245" width="5.44140625" style="7" customWidth="1"/>
    <col min="10246" max="10434" width="9.109375" style="7"/>
    <col min="10435" max="10435" width="26.44140625" style="7" customWidth="1"/>
    <col min="10436" max="10436" width="78.44140625" style="7" customWidth="1"/>
    <col min="10437" max="10437" width="19.6640625" style="7" customWidth="1"/>
    <col min="10438" max="10496" width="9.109375" style="7"/>
    <col min="10497" max="10497" width="24.33203125" style="7" customWidth="1"/>
    <col min="10498" max="10498" width="78.44140625" style="7" customWidth="1"/>
    <col min="10499" max="10499" width="18.109375" style="7" customWidth="1"/>
    <col min="10500" max="10500" width="7" style="7" customWidth="1"/>
    <col min="10501" max="10501" width="5.44140625" style="7" customWidth="1"/>
    <col min="10502" max="10690" width="9.109375" style="7"/>
    <col min="10691" max="10691" width="26.44140625" style="7" customWidth="1"/>
    <col min="10692" max="10692" width="78.44140625" style="7" customWidth="1"/>
    <col min="10693" max="10693" width="19.6640625" style="7" customWidth="1"/>
    <col min="10694" max="10752" width="9.109375" style="7"/>
    <col min="10753" max="10753" width="24.33203125" style="7" customWidth="1"/>
    <col min="10754" max="10754" width="78.44140625" style="7" customWidth="1"/>
    <col min="10755" max="10755" width="18.109375" style="7" customWidth="1"/>
    <col min="10756" max="10756" width="7" style="7" customWidth="1"/>
    <col min="10757" max="10757" width="5.44140625" style="7" customWidth="1"/>
    <col min="10758" max="10946" width="9.109375" style="7"/>
    <col min="10947" max="10947" width="26.44140625" style="7" customWidth="1"/>
    <col min="10948" max="10948" width="78.44140625" style="7" customWidth="1"/>
    <col min="10949" max="10949" width="19.6640625" style="7" customWidth="1"/>
    <col min="10950" max="11008" width="9.109375" style="7"/>
    <col min="11009" max="11009" width="24.33203125" style="7" customWidth="1"/>
    <col min="11010" max="11010" width="78.44140625" style="7" customWidth="1"/>
    <col min="11011" max="11011" width="18.109375" style="7" customWidth="1"/>
    <col min="11012" max="11012" width="7" style="7" customWidth="1"/>
    <col min="11013" max="11013" width="5.44140625" style="7" customWidth="1"/>
    <col min="11014" max="11202" width="9.109375" style="7"/>
    <col min="11203" max="11203" width="26.44140625" style="7" customWidth="1"/>
    <col min="11204" max="11204" width="78.44140625" style="7" customWidth="1"/>
    <col min="11205" max="11205" width="19.6640625" style="7" customWidth="1"/>
    <col min="11206" max="11264" width="9.109375" style="7"/>
    <col min="11265" max="11265" width="24.33203125" style="7" customWidth="1"/>
    <col min="11266" max="11266" width="78.44140625" style="7" customWidth="1"/>
    <col min="11267" max="11267" width="18.109375" style="7" customWidth="1"/>
    <col min="11268" max="11268" width="7" style="7" customWidth="1"/>
    <col min="11269" max="11269" width="5.44140625" style="7" customWidth="1"/>
    <col min="11270" max="11458" width="9.109375" style="7"/>
    <col min="11459" max="11459" width="26.44140625" style="7" customWidth="1"/>
    <col min="11460" max="11460" width="78.44140625" style="7" customWidth="1"/>
    <col min="11461" max="11461" width="19.6640625" style="7" customWidth="1"/>
    <col min="11462" max="11520" width="9.109375" style="7"/>
    <col min="11521" max="11521" width="24.33203125" style="7" customWidth="1"/>
    <col min="11522" max="11522" width="78.44140625" style="7" customWidth="1"/>
    <col min="11523" max="11523" width="18.109375" style="7" customWidth="1"/>
    <col min="11524" max="11524" width="7" style="7" customWidth="1"/>
    <col min="11525" max="11525" width="5.44140625" style="7" customWidth="1"/>
    <col min="11526" max="11714" width="9.109375" style="7"/>
    <col min="11715" max="11715" width="26.44140625" style="7" customWidth="1"/>
    <col min="11716" max="11716" width="78.44140625" style="7" customWidth="1"/>
    <col min="11717" max="11717" width="19.6640625" style="7" customWidth="1"/>
    <col min="11718" max="11776" width="9.109375" style="7"/>
    <col min="11777" max="11777" width="24.33203125" style="7" customWidth="1"/>
    <col min="11778" max="11778" width="78.44140625" style="7" customWidth="1"/>
    <col min="11779" max="11779" width="18.109375" style="7" customWidth="1"/>
    <col min="11780" max="11780" width="7" style="7" customWidth="1"/>
    <col min="11781" max="11781" width="5.44140625" style="7" customWidth="1"/>
    <col min="11782" max="11970" width="9.109375" style="7"/>
    <col min="11971" max="11971" width="26.44140625" style="7" customWidth="1"/>
    <col min="11972" max="11972" width="78.44140625" style="7" customWidth="1"/>
    <col min="11973" max="11973" width="19.6640625" style="7" customWidth="1"/>
    <col min="11974" max="12032" width="9.109375" style="7"/>
    <col min="12033" max="12033" width="24.33203125" style="7" customWidth="1"/>
    <col min="12034" max="12034" width="78.44140625" style="7" customWidth="1"/>
    <col min="12035" max="12035" width="18.109375" style="7" customWidth="1"/>
    <col min="12036" max="12036" width="7" style="7" customWidth="1"/>
    <col min="12037" max="12037" width="5.44140625" style="7" customWidth="1"/>
    <col min="12038" max="12226" width="9.109375" style="7"/>
    <col min="12227" max="12227" width="26.44140625" style="7" customWidth="1"/>
    <col min="12228" max="12228" width="78.44140625" style="7" customWidth="1"/>
    <col min="12229" max="12229" width="19.6640625" style="7" customWidth="1"/>
    <col min="12230" max="12288" width="9.109375" style="7"/>
    <col min="12289" max="12289" width="24.33203125" style="7" customWidth="1"/>
    <col min="12290" max="12290" width="78.44140625" style="7" customWidth="1"/>
    <col min="12291" max="12291" width="18.109375" style="7" customWidth="1"/>
    <col min="12292" max="12292" width="7" style="7" customWidth="1"/>
    <col min="12293" max="12293" width="5.44140625" style="7" customWidth="1"/>
    <col min="12294" max="12482" width="9.109375" style="7"/>
    <col min="12483" max="12483" width="26.44140625" style="7" customWidth="1"/>
    <col min="12484" max="12484" width="78.44140625" style="7" customWidth="1"/>
    <col min="12485" max="12485" width="19.6640625" style="7" customWidth="1"/>
    <col min="12486" max="12544" width="9.109375" style="7"/>
    <col min="12545" max="12545" width="24.33203125" style="7" customWidth="1"/>
    <col min="12546" max="12546" width="78.44140625" style="7" customWidth="1"/>
    <col min="12547" max="12547" width="18.109375" style="7" customWidth="1"/>
    <col min="12548" max="12548" width="7" style="7" customWidth="1"/>
    <col min="12549" max="12549" width="5.44140625" style="7" customWidth="1"/>
    <col min="12550" max="12738" width="9.109375" style="7"/>
    <col min="12739" max="12739" width="26.44140625" style="7" customWidth="1"/>
    <col min="12740" max="12740" width="78.44140625" style="7" customWidth="1"/>
    <col min="12741" max="12741" width="19.6640625" style="7" customWidth="1"/>
    <col min="12742" max="12800" width="9.109375" style="7"/>
    <col min="12801" max="12801" width="24.33203125" style="7" customWidth="1"/>
    <col min="12802" max="12802" width="78.44140625" style="7" customWidth="1"/>
    <col min="12803" max="12803" width="18.109375" style="7" customWidth="1"/>
    <col min="12804" max="12804" width="7" style="7" customWidth="1"/>
    <col min="12805" max="12805" width="5.44140625" style="7" customWidth="1"/>
    <col min="12806" max="12994" width="9.109375" style="7"/>
    <col min="12995" max="12995" width="26.44140625" style="7" customWidth="1"/>
    <col min="12996" max="12996" width="78.44140625" style="7" customWidth="1"/>
    <col min="12997" max="12997" width="19.6640625" style="7" customWidth="1"/>
    <col min="12998" max="13056" width="9.109375" style="7"/>
    <col min="13057" max="13057" width="24.33203125" style="7" customWidth="1"/>
    <col min="13058" max="13058" width="78.44140625" style="7" customWidth="1"/>
    <col min="13059" max="13059" width="18.109375" style="7" customWidth="1"/>
    <col min="13060" max="13060" width="7" style="7" customWidth="1"/>
    <col min="13061" max="13061" width="5.44140625" style="7" customWidth="1"/>
    <col min="13062" max="13250" width="9.109375" style="7"/>
    <col min="13251" max="13251" width="26.44140625" style="7" customWidth="1"/>
    <col min="13252" max="13252" width="78.44140625" style="7" customWidth="1"/>
    <col min="13253" max="13253" width="19.6640625" style="7" customWidth="1"/>
    <col min="13254" max="13312" width="9.109375" style="7"/>
    <col min="13313" max="13313" width="24.33203125" style="7" customWidth="1"/>
    <col min="13314" max="13314" width="78.44140625" style="7" customWidth="1"/>
    <col min="13315" max="13315" width="18.109375" style="7" customWidth="1"/>
    <col min="13316" max="13316" width="7" style="7" customWidth="1"/>
    <col min="13317" max="13317" width="5.44140625" style="7" customWidth="1"/>
    <col min="13318" max="13506" width="9.109375" style="7"/>
    <col min="13507" max="13507" width="26.44140625" style="7" customWidth="1"/>
    <col min="13508" max="13508" width="78.44140625" style="7" customWidth="1"/>
    <col min="13509" max="13509" width="19.6640625" style="7" customWidth="1"/>
    <col min="13510" max="13568" width="9.109375" style="7"/>
    <col min="13569" max="13569" width="24.33203125" style="7" customWidth="1"/>
    <col min="13570" max="13570" width="78.44140625" style="7" customWidth="1"/>
    <col min="13571" max="13571" width="18.109375" style="7" customWidth="1"/>
    <col min="13572" max="13572" width="7" style="7" customWidth="1"/>
    <col min="13573" max="13573" width="5.44140625" style="7" customWidth="1"/>
    <col min="13574" max="13762" width="9.109375" style="7"/>
    <col min="13763" max="13763" width="26.44140625" style="7" customWidth="1"/>
    <col min="13764" max="13764" width="78.44140625" style="7" customWidth="1"/>
    <col min="13765" max="13765" width="19.6640625" style="7" customWidth="1"/>
    <col min="13766" max="13824" width="9.109375" style="7"/>
    <col min="13825" max="13825" width="24.33203125" style="7" customWidth="1"/>
    <col min="13826" max="13826" width="78.44140625" style="7" customWidth="1"/>
    <col min="13827" max="13827" width="18.109375" style="7" customWidth="1"/>
    <col min="13828" max="13828" width="7" style="7" customWidth="1"/>
    <col min="13829" max="13829" width="5.44140625" style="7" customWidth="1"/>
    <col min="13830" max="14018" width="9.109375" style="7"/>
    <col min="14019" max="14019" width="26.44140625" style="7" customWidth="1"/>
    <col min="14020" max="14020" width="78.44140625" style="7" customWidth="1"/>
    <col min="14021" max="14021" width="19.6640625" style="7" customWidth="1"/>
    <col min="14022" max="14080" width="9.109375" style="7"/>
    <col min="14081" max="14081" width="24.33203125" style="7" customWidth="1"/>
    <col min="14082" max="14082" width="78.44140625" style="7" customWidth="1"/>
    <col min="14083" max="14083" width="18.109375" style="7" customWidth="1"/>
    <col min="14084" max="14084" width="7" style="7" customWidth="1"/>
    <col min="14085" max="14085" width="5.44140625" style="7" customWidth="1"/>
    <col min="14086" max="14274" width="9.109375" style="7"/>
    <col min="14275" max="14275" width="26.44140625" style="7" customWidth="1"/>
    <col min="14276" max="14276" width="78.44140625" style="7" customWidth="1"/>
    <col min="14277" max="14277" width="19.6640625" style="7" customWidth="1"/>
    <col min="14278" max="14336" width="9.109375" style="7"/>
    <col min="14337" max="14337" width="24.33203125" style="7" customWidth="1"/>
    <col min="14338" max="14338" width="78.44140625" style="7" customWidth="1"/>
    <col min="14339" max="14339" width="18.109375" style="7" customWidth="1"/>
    <col min="14340" max="14340" width="7" style="7" customWidth="1"/>
    <col min="14341" max="14341" width="5.44140625" style="7" customWidth="1"/>
    <col min="14342" max="14530" width="9.109375" style="7"/>
    <col min="14531" max="14531" width="26.44140625" style="7" customWidth="1"/>
    <col min="14532" max="14532" width="78.44140625" style="7" customWidth="1"/>
    <col min="14533" max="14533" width="19.6640625" style="7" customWidth="1"/>
    <col min="14534" max="14592" width="9.109375" style="7"/>
    <col min="14593" max="14593" width="24.33203125" style="7" customWidth="1"/>
    <col min="14594" max="14594" width="78.44140625" style="7" customWidth="1"/>
    <col min="14595" max="14595" width="18.109375" style="7" customWidth="1"/>
    <col min="14596" max="14596" width="7" style="7" customWidth="1"/>
    <col min="14597" max="14597" width="5.44140625" style="7" customWidth="1"/>
    <col min="14598" max="14786" width="9.109375" style="7"/>
    <col min="14787" max="14787" width="26.44140625" style="7" customWidth="1"/>
    <col min="14788" max="14788" width="78.44140625" style="7" customWidth="1"/>
    <col min="14789" max="14789" width="19.6640625" style="7" customWidth="1"/>
    <col min="14790" max="14848" width="9.109375" style="7"/>
    <col min="14849" max="14849" width="24.33203125" style="7" customWidth="1"/>
    <col min="14850" max="14850" width="78.44140625" style="7" customWidth="1"/>
    <col min="14851" max="14851" width="18.109375" style="7" customWidth="1"/>
    <col min="14852" max="14852" width="7" style="7" customWidth="1"/>
    <col min="14853" max="14853" width="5.44140625" style="7" customWidth="1"/>
    <col min="14854" max="15042" width="9.109375" style="7"/>
    <col min="15043" max="15043" width="26.44140625" style="7" customWidth="1"/>
    <col min="15044" max="15044" width="78.44140625" style="7" customWidth="1"/>
    <col min="15045" max="15045" width="19.6640625" style="7" customWidth="1"/>
    <col min="15046" max="15104" width="9.109375" style="7"/>
    <col min="15105" max="15105" width="24.33203125" style="7" customWidth="1"/>
    <col min="15106" max="15106" width="78.44140625" style="7" customWidth="1"/>
    <col min="15107" max="15107" width="18.109375" style="7" customWidth="1"/>
    <col min="15108" max="15108" width="7" style="7" customWidth="1"/>
    <col min="15109" max="15109" width="5.44140625" style="7" customWidth="1"/>
    <col min="15110" max="15298" width="9.109375" style="7"/>
    <col min="15299" max="15299" width="26.44140625" style="7" customWidth="1"/>
    <col min="15300" max="15300" width="78.44140625" style="7" customWidth="1"/>
    <col min="15301" max="15301" width="19.6640625" style="7" customWidth="1"/>
    <col min="15302" max="15360" width="9.109375" style="7"/>
    <col min="15361" max="15361" width="24.33203125" style="7" customWidth="1"/>
    <col min="15362" max="15362" width="78.44140625" style="7" customWidth="1"/>
    <col min="15363" max="15363" width="18.109375" style="7" customWidth="1"/>
    <col min="15364" max="15364" width="7" style="7" customWidth="1"/>
    <col min="15365" max="15365" width="5.44140625" style="7" customWidth="1"/>
    <col min="15366" max="15554" width="9.109375" style="7"/>
    <col min="15555" max="15555" width="26.44140625" style="7" customWidth="1"/>
    <col min="15556" max="15556" width="78.44140625" style="7" customWidth="1"/>
    <col min="15557" max="15557" width="19.6640625" style="7" customWidth="1"/>
    <col min="15558" max="15616" width="9.109375" style="7"/>
    <col min="15617" max="15617" width="24.33203125" style="7" customWidth="1"/>
    <col min="15618" max="15618" width="78.44140625" style="7" customWidth="1"/>
    <col min="15619" max="15619" width="18.109375" style="7" customWidth="1"/>
    <col min="15620" max="15620" width="7" style="7" customWidth="1"/>
    <col min="15621" max="15621" width="5.44140625" style="7" customWidth="1"/>
    <col min="15622" max="15810" width="9.109375" style="7"/>
    <col min="15811" max="15811" width="26.44140625" style="7" customWidth="1"/>
    <col min="15812" max="15812" width="78.44140625" style="7" customWidth="1"/>
    <col min="15813" max="15813" width="19.6640625" style="7" customWidth="1"/>
    <col min="15814" max="15872" width="9.109375" style="7"/>
    <col min="15873" max="15873" width="24.33203125" style="7" customWidth="1"/>
    <col min="15874" max="15874" width="78.44140625" style="7" customWidth="1"/>
    <col min="15875" max="15875" width="18.109375" style="7" customWidth="1"/>
    <col min="15876" max="15876" width="7" style="7" customWidth="1"/>
    <col min="15877" max="15877" width="5.44140625" style="7" customWidth="1"/>
    <col min="15878" max="16066" width="9.109375" style="7"/>
    <col min="16067" max="16067" width="26.44140625" style="7" customWidth="1"/>
    <col min="16068" max="16068" width="78.44140625" style="7" customWidth="1"/>
    <col min="16069" max="16069" width="19.6640625" style="7" customWidth="1"/>
    <col min="16070" max="16128" width="9.109375" style="7"/>
    <col min="16129" max="16129" width="24.33203125" style="7" customWidth="1"/>
    <col min="16130" max="16130" width="78.44140625" style="7" customWidth="1"/>
    <col min="16131" max="16131" width="18.109375" style="7" customWidth="1"/>
    <col min="16132" max="16132" width="7" style="7" customWidth="1"/>
    <col min="16133" max="16133" width="5.44140625" style="7" customWidth="1"/>
    <col min="16134" max="16322" width="9.109375" style="7"/>
    <col min="16323" max="16323" width="26.44140625" style="7" customWidth="1"/>
    <col min="16324" max="16324" width="78.44140625" style="7" customWidth="1"/>
    <col min="16325" max="16325" width="19.6640625" style="7" customWidth="1"/>
    <col min="16326" max="16384" width="9.109375" style="7"/>
  </cols>
  <sheetData>
    <row r="1" spans="1:6" ht="18">
      <c r="B1" s="14"/>
      <c r="C1" s="345" t="s">
        <v>949</v>
      </c>
    </row>
    <row r="2" spans="1:6" ht="18">
      <c r="B2" s="350" t="s">
        <v>933</v>
      </c>
      <c r="C2" s="350"/>
    </row>
    <row r="3" spans="1:6" ht="18">
      <c r="B3" s="350" t="s">
        <v>940</v>
      </c>
      <c r="C3" s="350"/>
    </row>
    <row r="4" spans="1:6" ht="18">
      <c r="B4" s="350" t="s">
        <v>945</v>
      </c>
      <c r="C4" s="350"/>
    </row>
    <row r="5" spans="1:6" ht="18">
      <c r="C5" s="240" t="s">
        <v>254</v>
      </c>
    </row>
    <row r="6" spans="1:6" ht="18">
      <c r="C6" s="240" t="s">
        <v>932</v>
      </c>
    </row>
    <row r="7" spans="1:6" ht="18">
      <c r="C7" s="240" t="s">
        <v>836</v>
      </c>
    </row>
    <row r="8" spans="1:6">
      <c r="C8" s="2" t="s">
        <v>937</v>
      </c>
    </row>
    <row r="10" spans="1:6" ht="22.65" customHeight="1">
      <c r="A10" s="353" t="s">
        <v>241</v>
      </c>
      <c r="B10" s="353"/>
      <c r="C10" s="353"/>
    </row>
    <row r="11" spans="1:6" ht="18.75" customHeight="1">
      <c r="A11" s="354" t="s">
        <v>771</v>
      </c>
      <c r="B11" s="354"/>
      <c r="C11" s="354"/>
    </row>
    <row r="12" spans="1:6" ht="16.5" customHeight="1">
      <c r="C12" s="246" t="s">
        <v>408</v>
      </c>
    </row>
    <row r="13" spans="1:6" ht="70.5" customHeight="1">
      <c r="A13" s="23" t="s">
        <v>159</v>
      </c>
      <c r="B13" s="24" t="s">
        <v>164</v>
      </c>
      <c r="C13" s="138" t="s">
        <v>757</v>
      </c>
      <c r="D13" s="243"/>
      <c r="E13" s="243"/>
    </row>
    <row r="14" spans="1:6" ht="16.5" customHeight="1">
      <c r="A14" s="25" t="s">
        <v>165</v>
      </c>
      <c r="B14" s="26" t="s">
        <v>166</v>
      </c>
      <c r="C14" s="85">
        <f t="shared" ref="C14" si="0">C15+C19+C24+C27+C29+C33+C35+C37+C40+C17+C41</f>
        <v>422014631.79000002</v>
      </c>
      <c r="F14" s="7">
        <f>C14/C70*100</f>
        <v>44.692104740461161</v>
      </c>
    </row>
    <row r="15" spans="1:6" ht="17.399999999999999" customHeight="1">
      <c r="A15" s="25" t="s">
        <v>167</v>
      </c>
      <c r="B15" s="27" t="s">
        <v>168</v>
      </c>
      <c r="C15" s="86">
        <f t="shared" ref="C15" si="1">SUM(C16:C16)</f>
        <v>338407631.79000002</v>
      </c>
      <c r="F15" s="7">
        <f>C15/C70*100</f>
        <v>35.83797381806437</v>
      </c>
    </row>
    <row r="16" spans="1:6" ht="15.75" customHeight="1">
      <c r="A16" s="25" t="s">
        <v>169</v>
      </c>
      <c r="B16" s="27" t="s">
        <v>170</v>
      </c>
      <c r="C16" s="86">
        <f>351120000-12712368.21</f>
        <v>338407631.79000002</v>
      </c>
      <c r="D16" s="244"/>
      <c r="E16" s="244"/>
    </row>
    <row r="17" spans="1:6" ht="45" customHeight="1">
      <c r="A17" s="25" t="s">
        <v>171</v>
      </c>
      <c r="B17" s="27" t="s">
        <v>172</v>
      </c>
      <c r="C17" s="86">
        <f t="shared" ref="C17" si="2">C18</f>
        <v>12030000</v>
      </c>
      <c r="F17" s="7">
        <f>C17/C70*100</f>
        <v>1.2739985287886593</v>
      </c>
    </row>
    <row r="18" spans="1:6" ht="39.75" customHeight="1">
      <c r="A18" s="25" t="s">
        <v>173</v>
      </c>
      <c r="B18" s="27" t="s">
        <v>174</v>
      </c>
      <c r="C18" s="86">
        <v>12030000</v>
      </c>
    </row>
    <row r="19" spans="1:6" ht="17.399999999999999" customHeight="1">
      <c r="A19" s="25" t="s">
        <v>175</v>
      </c>
      <c r="B19" s="27" t="s">
        <v>176</v>
      </c>
      <c r="C19" s="86">
        <f t="shared" ref="C19" si="3">SUM(C20:C23)</f>
        <v>24600000</v>
      </c>
      <c r="F19" s="7">
        <f>C19/C70*100</f>
        <v>2.6051840239568596</v>
      </c>
    </row>
    <row r="20" spans="1:6" ht="33.75" customHeight="1">
      <c r="A20" s="25" t="s">
        <v>476</v>
      </c>
      <c r="B20" s="27" t="s">
        <v>477</v>
      </c>
      <c r="C20" s="86">
        <v>16000000</v>
      </c>
      <c r="F20" s="7">
        <f>C20/C70*100</f>
        <v>1.694428633467876</v>
      </c>
    </row>
    <row r="21" spans="1:6" ht="2.1" customHeight="1">
      <c r="A21" s="25" t="s">
        <v>676</v>
      </c>
      <c r="B21" s="27" t="s">
        <v>677</v>
      </c>
      <c r="C21" s="86">
        <v>0</v>
      </c>
    </row>
    <row r="22" spans="1:6" ht="17.399999999999999" customHeight="1">
      <c r="A22" s="25" t="s">
        <v>177</v>
      </c>
      <c r="B22" s="27" t="s">
        <v>178</v>
      </c>
      <c r="C22" s="86">
        <v>1250000</v>
      </c>
      <c r="F22" s="7">
        <f>C22/C70*100</f>
        <v>0.13237723698967782</v>
      </c>
    </row>
    <row r="23" spans="1:6" ht="17.399999999999999" customHeight="1">
      <c r="A23" s="25" t="s">
        <v>746</v>
      </c>
      <c r="B23" s="27" t="s">
        <v>618</v>
      </c>
      <c r="C23" s="86">
        <v>7350000</v>
      </c>
      <c r="F23" s="7">
        <f>C23/C70*100</f>
        <v>0.7783781534993055</v>
      </c>
    </row>
    <row r="24" spans="1:6" ht="26.4" customHeight="1">
      <c r="A24" s="25" t="s">
        <v>479</v>
      </c>
      <c r="B24" s="27" t="s">
        <v>480</v>
      </c>
      <c r="C24" s="86">
        <f t="shared" ref="C24" si="4">C25+C26</f>
        <v>26300000</v>
      </c>
      <c r="F24" s="7">
        <f>C24/C70*100</f>
        <v>2.7852170662628213</v>
      </c>
    </row>
    <row r="25" spans="1:6" ht="18" customHeight="1">
      <c r="A25" s="25" t="s">
        <v>651</v>
      </c>
      <c r="B25" s="27" t="s">
        <v>619</v>
      </c>
      <c r="C25" s="86">
        <v>4300000</v>
      </c>
      <c r="F25" s="7">
        <f>C25/C70*1010</f>
        <v>4.5993147219693657</v>
      </c>
    </row>
    <row r="26" spans="1:6" ht="16.5" customHeight="1">
      <c r="A26" s="25" t="s">
        <v>482</v>
      </c>
      <c r="B26" s="27" t="s">
        <v>481</v>
      </c>
      <c r="C26" s="86">
        <v>22000000</v>
      </c>
      <c r="F26" s="7">
        <f>C26/C70*100</f>
        <v>2.3298393710183296</v>
      </c>
    </row>
    <row r="27" spans="1:6" ht="23.25" customHeight="1">
      <c r="A27" s="25" t="s">
        <v>179</v>
      </c>
      <c r="B27" s="27" t="s">
        <v>180</v>
      </c>
      <c r="C27" s="86">
        <f>C28</f>
        <v>2300000</v>
      </c>
      <c r="F27" s="7">
        <f>C27/C70*100</f>
        <v>0.24357411606100715</v>
      </c>
    </row>
    <row r="28" spans="1:6" ht="55.5" customHeight="1">
      <c r="A28" s="25" t="s">
        <v>483</v>
      </c>
      <c r="B28" s="27" t="s">
        <v>484</v>
      </c>
      <c r="C28" s="86">
        <v>2300000</v>
      </c>
    </row>
    <row r="29" spans="1:6" ht="64.5" customHeight="1">
      <c r="A29" s="25" t="s">
        <v>181</v>
      </c>
      <c r="B29" s="28" t="s">
        <v>182</v>
      </c>
      <c r="C29" s="86">
        <f t="shared" ref="C29" si="5">SUM(C30:C32)</f>
        <v>15230000</v>
      </c>
      <c r="D29" s="245"/>
      <c r="F29" s="7">
        <f>C29/C70*100</f>
        <v>1.6128842554822345</v>
      </c>
    </row>
    <row r="30" spans="1:6" ht="33" customHeight="1">
      <c r="A30" s="25" t="s">
        <v>615</v>
      </c>
      <c r="B30" s="27" t="s">
        <v>620</v>
      </c>
      <c r="C30" s="86">
        <v>10480000</v>
      </c>
      <c r="D30" s="245"/>
      <c r="F30" s="7">
        <f>C30/C70*100</f>
        <v>1.1098507549214587</v>
      </c>
    </row>
    <row r="31" spans="1:6" ht="45" customHeight="1">
      <c r="A31" s="25" t="s">
        <v>616</v>
      </c>
      <c r="B31" s="27" t="s">
        <v>621</v>
      </c>
      <c r="C31" s="86">
        <v>2950000</v>
      </c>
      <c r="D31" s="245"/>
      <c r="F31" s="7">
        <f>C31/C70*100</f>
        <v>0.31241027929563964</v>
      </c>
    </row>
    <row r="32" spans="1:6" ht="93.75" customHeight="1">
      <c r="A32" s="25" t="s">
        <v>617</v>
      </c>
      <c r="B32" s="27" t="s">
        <v>622</v>
      </c>
      <c r="C32" s="86">
        <v>1800000</v>
      </c>
      <c r="F32" s="7">
        <f>C32/C70*100</f>
        <v>0.19062322126513603</v>
      </c>
    </row>
    <row r="33" spans="1:6" ht="18" customHeight="1">
      <c r="A33" s="25" t="s">
        <v>183</v>
      </c>
      <c r="B33" s="28" t="s">
        <v>184</v>
      </c>
      <c r="C33" s="86">
        <f t="shared" ref="C33" si="6">SUM(C34:C34)</f>
        <v>163000</v>
      </c>
      <c r="F33" s="7">
        <f>C33/C70*100</f>
        <v>1.7261991703453987E-2</v>
      </c>
    </row>
    <row r="34" spans="1:6" ht="32.25" customHeight="1">
      <c r="A34" s="25" t="s">
        <v>185</v>
      </c>
      <c r="B34" s="27" t="s">
        <v>186</v>
      </c>
      <c r="C34" s="86">
        <v>163000</v>
      </c>
    </row>
    <row r="35" spans="1:6" ht="41.25" customHeight="1">
      <c r="A35" s="25" t="s">
        <v>187</v>
      </c>
      <c r="B35" s="27" t="s">
        <v>188</v>
      </c>
      <c r="C35" s="86">
        <f t="shared" ref="C35" si="7">C36</f>
        <v>742000</v>
      </c>
      <c r="F35" s="7">
        <f>C35/C70*100</f>
        <v>7.8579127877072746E-2</v>
      </c>
    </row>
    <row r="36" spans="1:6" ht="58.65" customHeight="1">
      <c r="A36" s="25" t="s">
        <v>641</v>
      </c>
      <c r="B36" s="27" t="s">
        <v>623</v>
      </c>
      <c r="C36" s="86">
        <v>742000</v>
      </c>
    </row>
    <row r="37" spans="1:6" ht="64.5" customHeight="1">
      <c r="A37" s="25" t="s">
        <v>189</v>
      </c>
      <c r="B37" s="27" t="s">
        <v>190</v>
      </c>
      <c r="C37" s="86">
        <f t="shared" ref="C37" si="8">C38+C39</f>
        <v>1600000</v>
      </c>
      <c r="F37" s="7">
        <f>C37/C70*100</f>
        <v>0.1694428633467876</v>
      </c>
    </row>
    <row r="38" spans="1:6" ht="50.25" customHeight="1">
      <c r="A38" s="25" t="s">
        <v>747</v>
      </c>
      <c r="B38" s="27" t="s">
        <v>748</v>
      </c>
      <c r="C38" s="86">
        <v>1000000</v>
      </c>
      <c r="F38" s="7">
        <f>C38/C70*100</f>
        <v>0.10590178959174225</v>
      </c>
    </row>
    <row r="39" spans="1:6" ht="33" customHeight="1">
      <c r="A39" s="25" t="s">
        <v>643</v>
      </c>
      <c r="B39" s="27" t="s">
        <v>625</v>
      </c>
      <c r="C39" s="86">
        <v>600000</v>
      </c>
      <c r="F39" s="7">
        <f>C39/C70*100</f>
        <v>6.3541073755045349E-2</v>
      </c>
    </row>
    <row r="40" spans="1:6" ht="27" customHeight="1" outlineLevel="1">
      <c r="A40" s="25" t="s">
        <v>191</v>
      </c>
      <c r="B40" s="28" t="s">
        <v>192</v>
      </c>
      <c r="C40" s="87">
        <v>550000</v>
      </c>
      <c r="F40" s="7">
        <f>C40/C70*100</f>
        <v>5.824598427545824E-2</v>
      </c>
    </row>
    <row r="41" spans="1:6" ht="24" customHeight="1" outlineLevel="1">
      <c r="A41" s="25" t="s">
        <v>485</v>
      </c>
      <c r="B41" s="28" t="s">
        <v>486</v>
      </c>
      <c r="C41" s="87">
        <v>92000</v>
      </c>
      <c r="F41" s="7">
        <f>C41/C70*100</f>
        <v>9.7429646424402865E-3</v>
      </c>
    </row>
    <row r="42" spans="1:6" ht="21.75" customHeight="1" outlineLevel="1">
      <c r="A42" s="25" t="s">
        <v>644</v>
      </c>
      <c r="B42" s="27" t="s">
        <v>626</v>
      </c>
      <c r="C42" s="86">
        <v>92000</v>
      </c>
    </row>
    <row r="43" spans="1:6" ht="27" customHeight="1" outlineLevel="1">
      <c r="A43" s="30" t="s">
        <v>193</v>
      </c>
      <c r="B43" s="30" t="s">
        <v>194</v>
      </c>
      <c r="C43" s="88">
        <f t="shared" ref="C43" si="9">C44</f>
        <v>522256474.35000002</v>
      </c>
    </row>
    <row r="44" spans="1:6" ht="42.75" customHeight="1">
      <c r="A44" s="31" t="s">
        <v>195</v>
      </c>
      <c r="B44" s="31" t="s">
        <v>243</v>
      </c>
      <c r="C44" s="79">
        <f>C48+C57+C68+C45</f>
        <v>522256474.35000002</v>
      </c>
    </row>
    <row r="45" spans="1:6" ht="33" customHeight="1">
      <c r="A45" s="31" t="s">
        <v>716</v>
      </c>
      <c r="B45" s="31" t="s">
        <v>717</v>
      </c>
      <c r="C45" s="79">
        <f t="shared" ref="C45" si="10">C47+C46</f>
        <v>40328000</v>
      </c>
    </row>
    <row r="46" spans="1:6" ht="2.1" customHeight="1">
      <c r="A46" s="31" t="s">
        <v>733</v>
      </c>
      <c r="B46" s="31" t="s">
        <v>732</v>
      </c>
      <c r="C46" s="79"/>
    </row>
    <row r="47" spans="1:6" ht="27" customHeight="1">
      <c r="A47" s="31" t="s">
        <v>718</v>
      </c>
      <c r="B47" s="31" t="s">
        <v>719</v>
      </c>
      <c r="C47" s="79">
        <v>40328000</v>
      </c>
    </row>
    <row r="48" spans="1:6" ht="39.15" customHeight="1">
      <c r="A48" s="31" t="s">
        <v>298</v>
      </c>
      <c r="B48" s="31" t="s">
        <v>289</v>
      </c>
      <c r="C48" s="79">
        <f>C51+C52+C54+C56+C50+C49+C53+C55</f>
        <v>60305546.920000002</v>
      </c>
    </row>
    <row r="49" spans="1:3" ht="72" hidden="1">
      <c r="A49" s="31" t="s">
        <v>683</v>
      </c>
      <c r="B49" s="31" t="s">
        <v>682</v>
      </c>
      <c r="C49" s="79">
        <v>0</v>
      </c>
    </row>
    <row r="50" spans="1:3" ht="54" hidden="1">
      <c r="A50" s="31" t="s">
        <v>681</v>
      </c>
      <c r="B50" s="31" t="s">
        <v>680</v>
      </c>
      <c r="C50" s="79">
        <v>0</v>
      </c>
    </row>
    <row r="51" spans="1:3" ht="90" hidden="1">
      <c r="A51" s="31" t="s">
        <v>645</v>
      </c>
      <c r="B51" s="31" t="s">
        <v>627</v>
      </c>
      <c r="C51" s="79">
        <v>0</v>
      </c>
    </row>
    <row r="52" spans="1:3" ht="41.25" hidden="1" customHeight="1">
      <c r="A52" s="326" t="s">
        <v>646</v>
      </c>
      <c r="B52" s="327" t="s">
        <v>628</v>
      </c>
      <c r="C52" s="328">
        <f>6142440.01-6142440.01</f>
        <v>0</v>
      </c>
    </row>
    <row r="53" spans="1:3" ht="36">
      <c r="A53" s="31" t="s">
        <v>679</v>
      </c>
      <c r="B53" s="33" t="s">
        <v>678</v>
      </c>
      <c r="C53" s="79">
        <v>568859.04</v>
      </c>
    </row>
    <row r="54" spans="1:3" ht="36">
      <c r="A54" s="31" t="s">
        <v>647</v>
      </c>
      <c r="B54" s="33" t="s">
        <v>629</v>
      </c>
      <c r="C54" s="79">
        <v>6583307.1100000003</v>
      </c>
    </row>
    <row r="55" spans="1:3" ht="90">
      <c r="A55" s="31" t="s">
        <v>938</v>
      </c>
      <c r="B55" s="33" t="s">
        <v>904</v>
      </c>
      <c r="C55" s="79">
        <v>2430452.12</v>
      </c>
    </row>
    <row r="56" spans="1:3" ht="18">
      <c r="A56" s="31" t="s">
        <v>648</v>
      </c>
      <c r="B56" s="31" t="s">
        <v>630</v>
      </c>
      <c r="C56" s="79">
        <f>53153379.78-2430452.12+0.99</f>
        <v>50722928.650000006</v>
      </c>
    </row>
    <row r="57" spans="1:3" ht="36">
      <c r="A57" s="32" t="s">
        <v>287</v>
      </c>
      <c r="B57" s="31" t="s">
        <v>251</v>
      </c>
      <c r="C57" s="79">
        <f t="shared" ref="C57" si="11">C65+C58+C60+C59+C61+C63+C64+C62+C67+C66</f>
        <v>401147927.43000001</v>
      </c>
    </row>
    <row r="58" spans="1:3" ht="36">
      <c r="A58" s="31" t="s">
        <v>649</v>
      </c>
      <c r="B58" s="31" t="s">
        <v>631</v>
      </c>
      <c r="C58" s="79">
        <v>381597148.43000001</v>
      </c>
    </row>
    <row r="59" spans="1:3" ht="90">
      <c r="A59" s="31" t="s">
        <v>650</v>
      </c>
      <c r="B59" s="33" t="s">
        <v>632</v>
      </c>
      <c r="C59" s="79">
        <v>3179069</v>
      </c>
    </row>
    <row r="60" spans="1:3" ht="54">
      <c r="A60" s="31" t="s">
        <v>652</v>
      </c>
      <c r="B60" s="33" t="s">
        <v>633</v>
      </c>
      <c r="C60" s="79">
        <v>1383656</v>
      </c>
    </row>
    <row r="61" spans="1:3" ht="81" customHeight="1">
      <c r="A61" s="31" t="s">
        <v>653</v>
      </c>
      <c r="B61" s="33" t="s">
        <v>634</v>
      </c>
      <c r="C61" s="79">
        <v>219244</v>
      </c>
    </row>
    <row r="62" spans="1:3" ht="54" hidden="1">
      <c r="A62" s="326" t="s">
        <v>654</v>
      </c>
      <c r="B62" s="327" t="s">
        <v>635</v>
      </c>
      <c r="C62" s="328">
        <f>1035455.64-1035455.64</f>
        <v>0</v>
      </c>
    </row>
    <row r="63" spans="1:3" ht="72">
      <c r="A63" s="31" t="s">
        <v>655</v>
      </c>
      <c r="B63" s="33" t="s">
        <v>636</v>
      </c>
      <c r="C63" s="79">
        <v>10876600</v>
      </c>
    </row>
    <row r="64" spans="1:3" ht="36" hidden="1">
      <c r="A64" s="31" t="s">
        <v>656</v>
      </c>
      <c r="B64" s="33" t="s">
        <v>637</v>
      </c>
      <c r="C64" s="79">
        <v>0</v>
      </c>
    </row>
    <row r="65" spans="1:3" ht="36">
      <c r="A65" s="31" t="s">
        <v>657</v>
      </c>
      <c r="B65" s="31" t="s">
        <v>638</v>
      </c>
      <c r="C65" s="79">
        <v>1442603</v>
      </c>
    </row>
    <row r="66" spans="1:3" ht="18">
      <c r="A66" s="31" t="s">
        <v>744</v>
      </c>
      <c r="B66" s="31" t="s">
        <v>745</v>
      </c>
      <c r="C66" s="79">
        <v>353579</v>
      </c>
    </row>
    <row r="67" spans="1:3" ht="36">
      <c r="A67" s="31" t="s">
        <v>658</v>
      </c>
      <c r="B67" s="31" t="s">
        <v>639</v>
      </c>
      <c r="C67" s="79">
        <v>2096028</v>
      </c>
    </row>
    <row r="68" spans="1:3" ht="18">
      <c r="A68" s="31" t="s">
        <v>564</v>
      </c>
      <c r="B68" s="31" t="s">
        <v>565</v>
      </c>
      <c r="C68" s="79">
        <f>C69</f>
        <v>20475000</v>
      </c>
    </row>
    <row r="69" spans="1:3" ht="72">
      <c r="A69" s="31" t="s">
        <v>659</v>
      </c>
      <c r="B69" s="31" t="s">
        <v>640</v>
      </c>
      <c r="C69" s="79">
        <v>20475000</v>
      </c>
    </row>
    <row r="70" spans="1:3" ht="17.399999999999999">
      <c r="A70" s="34"/>
      <c r="B70" s="35" t="s">
        <v>125</v>
      </c>
      <c r="C70" s="89">
        <f t="shared" ref="C70" si="12">C14+C43</f>
        <v>944271106.1400001</v>
      </c>
    </row>
    <row r="76" spans="1:3">
      <c r="C76" s="2">
        <f>C43/C70*100</f>
        <v>55.307895259538832</v>
      </c>
    </row>
  </sheetData>
  <mergeCells count="5">
    <mergeCell ref="A10:C10"/>
    <mergeCell ref="A11:C11"/>
    <mergeCell ref="B2:C2"/>
    <mergeCell ref="B3:C3"/>
    <mergeCell ref="B4:C4"/>
  </mergeCells>
  <pageMargins left="0.98425196850393704" right="0.39370078740157483" top="0.39370078740157483" bottom="0.39370078740157483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topLeftCell="A58" zoomScale="93" zoomScaleNormal="100" zoomScaleSheetLayoutView="93" workbookViewId="0">
      <selection activeCell="E13" sqref="E13"/>
    </sheetView>
  </sheetViews>
  <sheetFormatPr defaultRowHeight="18"/>
  <cols>
    <col min="1" max="1" width="28" style="21" customWidth="1"/>
    <col min="2" max="2" width="65.44140625" style="22" customWidth="1"/>
    <col min="3" max="3" width="20.88671875" style="67" customWidth="1"/>
    <col min="4" max="4" width="18.88671875" style="67" customWidth="1"/>
    <col min="5" max="5" width="18.88671875" style="7" customWidth="1"/>
    <col min="6" max="6" width="18" style="7" customWidth="1"/>
    <col min="7" max="7" width="17.33203125" style="7" customWidth="1"/>
    <col min="8" max="257" width="9.109375" style="7"/>
    <col min="258" max="258" width="26.44140625" style="7" customWidth="1"/>
    <col min="259" max="259" width="78.44140625" style="7" customWidth="1"/>
    <col min="260" max="260" width="19.6640625" style="7" customWidth="1"/>
    <col min="261" max="513" width="9.109375" style="7"/>
    <col min="514" max="514" width="26.44140625" style="7" customWidth="1"/>
    <col min="515" max="515" width="78.44140625" style="7" customWidth="1"/>
    <col min="516" max="516" width="19.6640625" style="7" customWidth="1"/>
    <col min="517" max="769" width="9.109375" style="7"/>
    <col min="770" max="770" width="26.44140625" style="7" customWidth="1"/>
    <col min="771" max="771" width="78.44140625" style="7" customWidth="1"/>
    <col min="772" max="772" width="19.6640625" style="7" customWidth="1"/>
    <col min="773" max="1025" width="9.109375" style="7"/>
    <col min="1026" max="1026" width="26.44140625" style="7" customWidth="1"/>
    <col min="1027" max="1027" width="78.44140625" style="7" customWidth="1"/>
    <col min="1028" max="1028" width="19.6640625" style="7" customWidth="1"/>
    <col min="1029" max="1281" width="9.109375" style="7"/>
    <col min="1282" max="1282" width="26.44140625" style="7" customWidth="1"/>
    <col min="1283" max="1283" width="78.44140625" style="7" customWidth="1"/>
    <col min="1284" max="1284" width="19.6640625" style="7" customWidth="1"/>
    <col min="1285" max="1537" width="9.109375" style="7"/>
    <col min="1538" max="1538" width="26.44140625" style="7" customWidth="1"/>
    <col min="1539" max="1539" width="78.44140625" style="7" customWidth="1"/>
    <col min="1540" max="1540" width="19.6640625" style="7" customWidth="1"/>
    <col min="1541" max="1793" width="9.109375" style="7"/>
    <col min="1794" max="1794" width="26.44140625" style="7" customWidth="1"/>
    <col min="1795" max="1795" width="78.44140625" style="7" customWidth="1"/>
    <col min="1796" max="1796" width="19.6640625" style="7" customWidth="1"/>
    <col min="1797" max="2049" width="9.109375" style="7"/>
    <col min="2050" max="2050" width="26.44140625" style="7" customWidth="1"/>
    <col min="2051" max="2051" width="78.44140625" style="7" customWidth="1"/>
    <col min="2052" max="2052" width="19.6640625" style="7" customWidth="1"/>
    <col min="2053" max="2305" width="9.109375" style="7"/>
    <col min="2306" max="2306" width="26.44140625" style="7" customWidth="1"/>
    <col min="2307" max="2307" width="78.44140625" style="7" customWidth="1"/>
    <col min="2308" max="2308" width="19.6640625" style="7" customWidth="1"/>
    <col min="2309" max="2561" width="9.109375" style="7"/>
    <col min="2562" max="2562" width="26.44140625" style="7" customWidth="1"/>
    <col min="2563" max="2563" width="78.44140625" style="7" customWidth="1"/>
    <col min="2564" max="2564" width="19.6640625" style="7" customWidth="1"/>
    <col min="2565" max="2817" width="9.109375" style="7"/>
    <col min="2818" max="2818" width="26.44140625" style="7" customWidth="1"/>
    <col min="2819" max="2819" width="78.44140625" style="7" customWidth="1"/>
    <col min="2820" max="2820" width="19.6640625" style="7" customWidth="1"/>
    <col min="2821" max="3073" width="9.109375" style="7"/>
    <col min="3074" max="3074" width="26.44140625" style="7" customWidth="1"/>
    <col min="3075" max="3075" width="78.44140625" style="7" customWidth="1"/>
    <col min="3076" max="3076" width="19.6640625" style="7" customWidth="1"/>
    <col min="3077" max="3329" width="9.109375" style="7"/>
    <col min="3330" max="3330" width="26.44140625" style="7" customWidth="1"/>
    <col min="3331" max="3331" width="78.44140625" style="7" customWidth="1"/>
    <col min="3332" max="3332" width="19.6640625" style="7" customWidth="1"/>
    <col min="3333" max="3585" width="9.109375" style="7"/>
    <col min="3586" max="3586" width="26.44140625" style="7" customWidth="1"/>
    <col min="3587" max="3587" width="78.44140625" style="7" customWidth="1"/>
    <col min="3588" max="3588" width="19.6640625" style="7" customWidth="1"/>
    <col min="3589" max="3841" width="9.109375" style="7"/>
    <col min="3842" max="3842" width="26.44140625" style="7" customWidth="1"/>
    <col min="3843" max="3843" width="78.44140625" style="7" customWidth="1"/>
    <col min="3844" max="3844" width="19.6640625" style="7" customWidth="1"/>
    <col min="3845" max="4097" width="9.109375" style="7"/>
    <col min="4098" max="4098" width="26.44140625" style="7" customWidth="1"/>
    <col min="4099" max="4099" width="78.44140625" style="7" customWidth="1"/>
    <col min="4100" max="4100" width="19.6640625" style="7" customWidth="1"/>
    <col min="4101" max="4353" width="9.109375" style="7"/>
    <col min="4354" max="4354" width="26.44140625" style="7" customWidth="1"/>
    <col min="4355" max="4355" width="78.44140625" style="7" customWidth="1"/>
    <col min="4356" max="4356" width="19.6640625" style="7" customWidth="1"/>
    <col min="4357" max="4609" width="9.109375" style="7"/>
    <col min="4610" max="4610" width="26.44140625" style="7" customWidth="1"/>
    <col min="4611" max="4611" width="78.44140625" style="7" customWidth="1"/>
    <col min="4612" max="4612" width="19.6640625" style="7" customWidth="1"/>
    <col min="4613" max="4865" width="9.109375" style="7"/>
    <col min="4866" max="4866" width="26.44140625" style="7" customWidth="1"/>
    <col min="4867" max="4867" width="78.44140625" style="7" customWidth="1"/>
    <col min="4868" max="4868" width="19.6640625" style="7" customWidth="1"/>
    <col min="4869" max="5121" width="9.109375" style="7"/>
    <col min="5122" max="5122" width="26.44140625" style="7" customWidth="1"/>
    <col min="5123" max="5123" width="78.44140625" style="7" customWidth="1"/>
    <col min="5124" max="5124" width="19.6640625" style="7" customWidth="1"/>
    <col min="5125" max="5377" width="9.109375" style="7"/>
    <col min="5378" max="5378" width="26.44140625" style="7" customWidth="1"/>
    <col min="5379" max="5379" width="78.44140625" style="7" customWidth="1"/>
    <col min="5380" max="5380" width="19.6640625" style="7" customWidth="1"/>
    <col min="5381" max="5633" width="9.109375" style="7"/>
    <col min="5634" max="5634" width="26.44140625" style="7" customWidth="1"/>
    <col min="5635" max="5635" width="78.44140625" style="7" customWidth="1"/>
    <col min="5636" max="5636" width="19.6640625" style="7" customWidth="1"/>
    <col min="5637" max="5889" width="9.109375" style="7"/>
    <col min="5890" max="5890" width="26.44140625" style="7" customWidth="1"/>
    <col min="5891" max="5891" width="78.44140625" style="7" customWidth="1"/>
    <col min="5892" max="5892" width="19.6640625" style="7" customWidth="1"/>
    <col min="5893" max="6145" width="9.109375" style="7"/>
    <col min="6146" max="6146" width="26.44140625" style="7" customWidth="1"/>
    <col min="6147" max="6147" width="78.44140625" style="7" customWidth="1"/>
    <col min="6148" max="6148" width="19.6640625" style="7" customWidth="1"/>
    <col min="6149" max="6401" width="9.109375" style="7"/>
    <col min="6402" max="6402" width="26.44140625" style="7" customWidth="1"/>
    <col min="6403" max="6403" width="78.44140625" style="7" customWidth="1"/>
    <col min="6404" max="6404" width="19.6640625" style="7" customWidth="1"/>
    <col min="6405" max="6657" width="9.109375" style="7"/>
    <col min="6658" max="6658" width="26.44140625" style="7" customWidth="1"/>
    <col min="6659" max="6659" width="78.44140625" style="7" customWidth="1"/>
    <col min="6660" max="6660" width="19.6640625" style="7" customWidth="1"/>
    <col min="6661" max="6913" width="9.109375" style="7"/>
    <col min="6914" max="6914" width="26.44140625" style="7" customWidth="1"/>
    <col min="6915" max="6915" width="78.44140625" style="7" customWidth="1"/>
    <col min="6916" max="6916" width="19.6640625" style="7" customWidth="1"/>
    <col min="6917" max="7169" width="9.109375" style="7"/>
    <col min="7170" max="7170" width="26.44140625" style="7" customWidth="1"/>
    <col min="7171" max="7171" width="78.44140625" style="7" customWidth="1"/>
    <col min="7172" max="7172" width="19.6640625" style="7" customWidth="1"/>
    <col min="7173" max="7425" width="9.109375" style="7"/>
    <col min="7426" max="7426" width="26.44140625" style="7" customWidth="1"/>
    <col min="7427" max="7427" width="78.44140625" style="7" customWidth="1"/>
    <col min="7428" max="7428" width="19.6640625" style="7" customWidth="1"/>
    <col min="7429" max="7681" width="9.109375" style="7"/>
    <col min="7682" max="7682" width="26.44140625" style="7" customWidth="1"/>
    <col min="7683" max="7683" width="78.44140625" style="7" customWidth="1"/>
    <col min="7684" max="7684" width="19.6640625" style="7" customWidth="1"/>
    <col min="7685" max="7937" width="9.109375" style="7"/>
    <col min="7938" max="7938" width="26.44140625" style="7" customWidth="1"/>
    <col min="7939" max="7939" width="78.44140625" style="7" customWidth="1"/>
    <col min="7940" max="7940" width="19.6640625" style="7" customWidth="1"/>
    <col min="7941" max="8193" width="9.109375" style="7"/>
    <col min="8194" max="8194" width="26.44140625" style="7" customWidth="1"/>
    <col min="8195" max="8195" width="78.44140625" style="7" customWidth="1"/>
    <col min="8196" max="8196" width="19.6640625" style="7" customWidth="1"/>
    <col min="8197" max="8449" width="9.109375" style="7"/>
    <col min="8450" max="8450" width="26.44140625" style="7" customWidth="1"/>
    <col min="8451" max="8451" width="78.44140625" style="7" customWidth="1"/>
    <col min="8452" max="8452" width="19.6640625" style="7" customWidth="1"/>
    <col min="8453" max="8705" width="9.109375" style="7"/>
    <col min="8706" max="8706" width="26.44140625" style="7" customWidth="1"/>
    <col min="8707" max="8707" width="78.44140625" style="7" customWidth="1"/>
    <col min="8708" max="8708" width="19.6640625" style="7" customWidth="1"/>
    <col min="8709" max="8961" width="9.109375" style="7"/>
    <col min="8962" max="8962" width="26.44140625" style="7" customWidth="1"/>
    <col min="8963" max="8963" width="78.44140625" style="7" customWidth="1"/>
    <col min="8964" max="8964" width="19.6640625" style="7" customWidth="1"/>
    <col min="8965" max="9217" width="9.109375" style="7"/>
    <col min="9218" max="9218" width="26.44140625" style="7" customWidth="1"/>
    <col min="9219" max="9219" width="78.44140625" style="7" customWidth="1"/>
    <col min="9220" max="9220" width="19.6640625" style="7" customWidth="1"/>
    <col min="9221" max="9473" width="9.109375" style="7"/>
    <col min="9474" max="9474" width="26.44140625" style="7" customWidth="1"/>
    <col min="9475" max="9475" width="78.44140625" style="7" customWidth="1"/>
    <col min="9476" max="9476" width="19.6640625" style="7" customWidth="1"/>
    <col min="9477" max="9729" width="9.109375" style="7"/>
    <col min="9730" max="9730" width="26.44140625" style="7" customWidth="1"/>
    <col min="9731" max="9731" width="78.44140625" style="7" customWidth="1"/>
    <col min="9732" max="9732" width="19.6640625" style="7" customWidth="1"/>
    <col min="9733" max="9985" width="9.109375" style="7"/>
    <col min="9986" max="9986" width="26.44140625" style="7" customWidth="1"/>
    <col min="9987" max="9987" width="78.44140625" style="7" customWidth="1"/>
    <col min="9988" max="9988" width="19.6640625" style="7" customWidth="1"/>
    <col min="9989" max="10241" width="9.109375" style="7"/>
    <col min="10242" max="10242" width="26.44140625" style="7" customWidth="1"/>
    <col min="10243" max="10243" width="78.44140625" style="7" customWidth="1"/>
    <col min="10244" max="10244" width="19.6640625" style="7" customWidth="1"/>
    <col min="10245" max="10497" width="9.109375" style="7"/>
    <col min="10498" max="10498" width="26.44140625" style="7" customWidth="1"/>
    <col min="10499" max="10499" width="78.44140625" style="7" customWidth="1"/>
    <col min="10500" max="10500" width="19.6640625" style="7" customWidth="1"/>
    <col min="10501" max="10753" width="9.109375" style="7"/>
    <col min="10754" max="10754" width="26.44140625" style="7" customWidth="1"/>
    <col min="10755" max="10755" width="78.44140625" style="7" customWidth="1"/>
    <col min="10756" max="10756" width="19.6640625" style="7" customWidth="1"/>
    <col min="10757" max="11009" width="9.109375" style="7"/>
    <col min="11010" max="11010" width="26.44140625" style="7" customWidth="1"/>
    <col min="11011" max="11011" width="78.44140625" style="7" customWidth="1"/>
    <col min="11012" max="11012" width="19.6640625" style="7" customWidth="1"/>
    <col min="11013" max="11265" width="9.109375" style="7"/>
    <col min="11266" max="11266" width="26.44140625" style="7" customWidth="1"/>
    <col min="11267" max="11267" width="78.44140625" style="7" customWidth="1"/>
    <col min="11268" max="11268" width="19.6640625" style="7" customWidth="1"/>
    <col min="11269" max="11521" width="9.109375" style="7"/>
    <col min="11522" max="11522" width="26.44140625" style="7" customWidth="1"/>
    <col min="11523" max="11523" width="78.44140625" style="7" customWidth="1"/>
    <col min="11524" max="11524" width="19.6640625" style="7" customWidth="1"/>
    <col min="11525" max="11777" width="9.109375" style="7"/>
    <col min="11778" max="11778" width="26.44140625" style="7" customWidth="1"/>
    <col min="11779" max="11779" width="78.44140625" style="7" customWidth="1"/>
    <col min="11780" max="11780" width="19.6640625" style="7" customWidth="1"/>
    <col min="11781" max="12033" width="9.109375" style="7"/>
    <col min="12034" max="12034" width="26.44140625" style="7" customWidth="1"/>
    <col min="12035" max="12035" width="78.44140625" style="7" customWidth="1"/>
    <col min="12036" max="12036" width="19.6640625" style="7" customWidth="1"/>
    <col min="12037" max="12289" width="9.109375" style="7"/>
    <col min="12290" max="12290" width="26.44140625" style="7" customWidth="1"/>
    <col min="12291" max="12291" width="78.44140625" style="7" customWidth="1"/>
    <col min="12292" max="12292" width="19.6640625" style="7" customWidth="1"/>
    <col min="12293" max="12545" width="9.109375" style="7"/>
    <col min="12546" max="12546" width="26.44140625" style="7" customWidth="1"/>
    <col min="12547" max="12547" width="78.44140625" style="7" customWidth="1"/>
    <col min="12548" max="12548" width="19.6640625" style="7" customWidth="1"/>
    <col min="12549" max="12801" width="9.109375" style="7"/>
    <col min="12802" max="12802" width="26.44140625" style="7" customWidth="1"/>
    <col min="12803" max="12803" width="78.44140625" style="7" customWidth="1"/>
    <col min="12804" max="12804" width="19.6640625" style="7" customWidth="1"/>
    <col min="12805" max="13057" width="9.109375" style="7"/>
    <col min="13058" max="13058" width="26.44140625" style="7" customWidth="1"/>
    <col min="13059" max="13059" width="78.44140625" style="7" customWidth="1"/>
    <col min="13060" max="13060" width="19.6640625" style="7" customWidth="1"/>
    <col min="13061" max="13313" width="9.109375" style="7"/>
    <col min="13314" max="13314" width="26.44140625" style="7" customWidth="1"/>
    <col min="13315" max="13315" width="78.44140625" style="7" customWidth="1"/>
    <col min="13316" max="13316" width="19.6640625" style="7" customWidth="1"/>
    <col min="13317" max="13569" width="9.109375" style="7"/>
    <col min="13570" max="13570" width="26.44140625" style="7" customWidth="1"/>
    <col min="13571" max="13571" width="78.44140625" style="7" customWidth="1"/>
    <col min="13572" max="13572" width="19.6640625" style="7" customWidth="1"/>
    <col min="13573" max="13825" width="9.109375" style="7"/>
    <col min="13826" max="13826" width="26.44140625" style="7" customWidth="1"/>
    <col min="13827" max="13827" width="78.44140625" style="7" customWidth="1"/>
    <col min="13828" max="13828" width="19.6640625" style="7" customWidth="1"/>
    <col min="13829" max="14081" width="9.109375" style="7"/>
    <col min="14082" max="14082" width="26.44140625" style="7" customWidth="1"/>
    <col min="14083" max="14083" width="78.44140625" style="7" customWidth="1"/>
    <col min="14084" max="14084" width="19.6640625" style="7" customWidth="1"/>
    <col min="14085" max="14337" width="9.109375" style="7"/>
    <col min="14338" max="14338" width="26.44140625" style="7" customWidth="1"/>
    <col min="14339" max="14339" width="78.44140625" style="7" customWidth="1"/>
    <col min="14340" max="14340" width="19.6640625" style="7" customWidth="1"/>
    <col min="14341" max="14593" width="9.109375" style="7"/>
    <col min="14594" max="14594" width="26.44140625" style="7" customWidth="1"/>
    <col min="14595" max="14595" width="78.44140625" style="7" customWidth="1"/>
    <col min="14596" max="14596" width="19.6640625" style="7" customWidth="1"/>
    <col min="14597" max="14849" width="9.109375" style="7"/>
    <col min="14850" max="14850" width="26.44140625" style="7" customWidth="1"/>
    <col min="14851" max="14851" width="78.44140625" style="7" customWidth="1"/>
    <col min="14852" max="14852" width="19.6640625" style="7" customWidth="1"/>
    <col min="14853" max="15105" width="9.109375" style="7"/>
    <col min="15106" max="15106" width="26.44140625" style="7" customWidth="1"/>
    <col min="15107" max="15107" width="78.44140625" style="7" customWidth="1"/>
    <col min="15108" max="15108" width="19.6640625" style="7" customWidth="1"/>
    <col min="15109" max="15361" width="9.109375" style="7"/>
    <col min="15362" max="15362" width="26.44140625" style="7" customWidth="1"/>
    <col min="15363" max="15363" width="78.44140625" style="7" customWidth="1"/>
    <col min="15364" max="15364" width="19.6640625" style="7" customWidth="1"/>
    <col min="15365" max="15617" width="9.109375" style="7"/>
    <col min="15618" max="15618" width="26.44140625" style="7" customWidth="1"/>
    <col min="15619" max="15619" width="78.44140625" style="7" customWidth="1"/>
    <col min="15620" max="15620" width="19.6640625" style="7" customWidth="1"/>
    <col min="15621" max="15873" width="9.109375" style="7"/>
    <col min="15874" max="15874" width="26.44140625" style="7" customWidth="1"/>
    <col min="15875" max="15875" width="78.44140625" style="7" customWidth="1"/>
    <col min="15876" max="15876" width="19.6640625" style="7" customWidth="1"/>
    <col min="15877" max="16129" width="9.109375" style="7"/>
    <col min="16130" max="16130" width="26.44140625" style="7" customWidth="1"/>
    <col min="16131" max="16131" width="78.44140625" style="7" customWidth="1"/>
    <col min="16132" max="16132" width="19.6640625" style="7" customWidth="1"/>
    <col min="16133" max="16384" width="9.109375" style="7"/>
  </cols>
  <sheetData>
    <row r="1" spans="1:7">
      <c r="C1" s="73"/>
      <c r="D1" s="172"/>
    </row>
    <row r="2" spans="1:7">
      <c r="C2" s="73"/>
      <c r="D2" s="172"/>
    </row>
    <row r="3" spans="1:7">
      <c r="C3" s="73"/>
      <c r="D3" s="172"/>
    </row>
    <row r="4" spans="1:7">
      <c r="B4" s="355"/>
      <c r="C4" s="355"/>
      <c r="D4" s="175"/>
    </row>
    <row r="5" spans="1:7">
      <c r="C5" s="73"/>
      <c r="D5" s="172"/>
    </row>
    <row r="6" spans="1:7">
      <c r="C6" s="73"/>
      <c r="D6" s="172"/>
    </row>
    <row r="7" spans="1:7">
      <c r="C7" s="73"/>
      <c r="D7" s="172"/>
    </row>
    <row r="8" spans="1:7">
      <c r="C8" s="73"/>
      <c r="D8" s="172"/>
    </row>
    <row r="9" spans="1:7" ht="17.399999999999999">
      <c r="A9" s="353" t="s">
        <v>241</v>
      </c>
      <c r="B9" s="353"/>
      <c r="C9" s="353"/>
      <c r="D9" s="174"/>
    </row>
    <row r="10" spans="1:7">
      <c r="A10" s="354" t="s">
        <v>771</v>
      </c>
      <c r="B10" s="354"/>
      <c r="C10" s="354"/>
      <c r="D10" s="173"/>
    </row>
    <row r="11" spans="1:7">
      <c r="C11" s="65" t="s">
        <v>408</v>
      </c>
      <c r="D11" s="65"/>
    </row>
    <row r="12" spans="1:7" ht="57.75" customHeight="1">
      <c r="A12" s="23" t="s">
        <v>159</v>
      </c>
      <c r="B12" s="24" t="s">
        <v>164</v>
      </c>
      <c r="C12" s="178" t="s">
        <v>756</v>
      </c>
      <c r="D12" s="178" t="s">
        <v>758</v>
      </c>
      <c r="E12" s="138" t="s">
        <v>757</v>
      </c>
      <c r="F12" s="138" t="s">
        <v>759</v>
      </c>
      <c r="G12" s="138" t="s">
        <v>760</v>
      </c>
    </row>
    <row r="13" spans="1:7">
      <c r="A13" s="25" t="s">
        <v>165</v>
      </c>
      <c r="B13" s="26" t="s">
        <v>166</v>
      </c>
      <c r="C13" s="85">
        <f>C14+C18+C23+C26+C28+C32+C34+C36+C39+C16+C40</f>
        <v>340648250</v>
      </c>
      <c r="D13" s="85">
        <f>D14+D18+D23+D26+D28+D32+D34+D36+D39+D16+D40</f>
        <v>426754000</v>
      </c>
      <c r="E13" s="85">
        <f t="shared" ref="E13" si="0">E14+E18+E23+E26+E28+E32+E34+E36+E39+E16+E40</f>
        <v>434727000</v>
      </c>
      <c r="F13" s="180">
        <f>E13-C13</f>
        <v>94078750</v>
      </c>
      <c r="G13" s="179">
        <f>E13-D13</f>
        <v>7973000</v>
      </c>
    </row>
    <row r="14" spans="1:7">
      <c r="A14" s="25" t="s">
        <v>167</v>
      </c>
      <c r="B14" s="27" t="s">
        <v>168</v>
      </c>
      <c r="C14" s="86">
        <f>SUM(C15:C15)</f>
        <v>267566100</v>
      </c>
      <c r="D14" s="86">
        <f>SUM(D15:D15)</f>
        <v>340274000</v>
      </c>
      <c r="E14" s="86">
        <f t="shared" ref="E14" si="1">SUM(E15:E15)</f>
        <v>351120000</v>
      </c>
      <c r="F14" s="180">
        <f t="shared" ref="F14:F68" si="2">E14-C14</f>
        <v>83553900</v>
      </c>
      <c r="G14" s="179">
        <f t="shared" ref="G14:G68" si="3">E14-D14</f>
        <v>10846000</v>
      </c>
    </row>
    <row r="15" spans="1:7">
      <c r="A15" s="25" t="s">
        <v>169</v>
      </c>
      <c r="B15" s="27" t="s">
        <v>170</v>
      </c>
      <c r="C15" s="86">
        <v>267566100</v>
      </c>
      <c r="D15" s="86">
        <f>'прил 8'!C15</f>
        <v>340274000</v>
      </c>
      <c r="E15" s="86">
        <v>351120000</v>
      </c>
      <c r="F15" s="180">
        <f t="shared" si="2"/>
        <v>83553900</v>
      </c>
      <c r="G15" s="179">
        <f t="shared" si="3"/>
        <v>10846000</v>
      </c>
    </row>
    <row r="16" spans="1:7" ht="36">
      <c r="A16" s="25" t="s">
        <v>171</v>
      </c>
      <c r="B16" s="27" t="s">
        <v>172</v>
      </c>
      <c r="C16" s="86">
        <f>C17</f>
        <v>10961000</v>
      </c>
      <c r="D16" s="86">
        <f>D17</f>
        <v>13057000</v>
      </c>
      <c r="E16" s="86">
        <f t="shared" ref="E16" si="4">E17</f>
        <v>12030000</v>
      </c>
      <c r="F16" s="180">
        <f t="shared" si="2"/>
        <v>1069000</v>
      </c>
      <c r="G16" s="179">
        <f t="shared" si="3"/>
        <v>-1027000</v>
      </c>
    </row>
    <row r="17" spans="1:7" ht="36">
      <c r="A17" s="25" t="s">
        <v>173</v>
      </c>
      <c r="B17" s="27" t="s">
        <v>174</v>
      </c>
      <c r="C17" s="86">
        <v>10961000</v>
      </c>
      <c r="D17" s="86">
        <f>'прил 8'!C17</f>
        <v>13057000</v>
      </c>
      <c r="E17" s="86">
        <v>12030000</v>
      </c>
      <c r="F17" s="180">
        <f t="shared" si="2"/>
        <v>1069000</v>
      </c>
      <c r="G17" s="179">
        <f t="shared" si="3"/>
        <v>-1027000</v>
      </c>
    </row>
    <row r="18" spans="1:7">
      <c r="A18" s="25" t="s">
        <v>175</v>
      </c>
      <c r="B18" s="27" t="s">
        <v>176</v>
      </c>
      <c r="C18" s="86">
        <f>SUM(C19:C22)</f>
        <v>9545000</v>
      </c>
      <c r="D18" s="86">
        <f>SUM(D19:D22)</f>
        <v>25450000</v>
      </c>
      <c r="E18" s="86">
        <f t="shared" ref="E18" si="5">SUM(E19:E22)</f>
        <v>24600000</v>
      </c>
      <c r="F18" s="180">
        <f t="shared" si="2"/>
        <v>15055000</v>
      </c>
      <c r="G18" s="179">
        <f t="shared" si="3"/>
        <v>-850000</v>
      </c>
    </row>
    <row r="19" spans="1:7" ht="36">
      <c r="A19" s="25" t="s">
        <v>476</v>
      </c>
      <c r="B19" s="27" t="s">
        <v>477</v>
      </c>
      <c r="C19" s="86">
        <v>525000</v>
      </c>
      <c r="D19" s="86">
        <f>'прил 8'!C19</f>
        <v>16500000</v>
      </c>
      <c r="E19" s="86">
        <v>16000000</v>
      </c>
      <c r="F19" s="180">
        <f t="shared" si="2"/>
        <v>15475000</v>
      </c>
      <c r="G19" s="179">
        <f t="shared" si="3"/>
        <v>-500000</v>
      </c>
    </row>
    <row r="20" spans="1:7">
      <c r="A20" s="25" t="s">
        <v>676</v>
      </c>
      <c r="B20" s="27" t="s">
        <v>677</v>
      </c>
      <c r="C20" s="86">
        <v>2500000</v>
      </c>
      <c r="D20" s="86">
        <v>0</v>
      </c>
      <c r="E20" s="86">
        <v>0</v>
      </c>
      <c r="F20" s="180">
        <f t="shared" si="2"/>
        <v>-2500000</v>
      </c>
      <c r="G20" s="179">
        <f t="shared" si="3"/>
        <v>0</v>
      </c>
    </row>
    <row r="21" spans="1:7">
      <c r="A21" s="25" t="s">
        <v>177</v>
      </c>
      <c r="B21" s="27" t="s">
        <v>178</v>
      </c>
      <c r="C21" s="86">
        <v>2800000</v>
      </c>
      <c r="D21" s="86">
        <f>'прил 8'!C20</f>
        <v>1250000</v>
      </c>
      <c r="E21" s="86">
        <v>1250000</v>
      </c>
      <c r="F21" s="180">
        <f t="shared" si="2"/>
        <v>-1550000</v>
      </c>
      <c r="G21" s="179">
        <f t="shared" si="3"/>
        <v>0</v>
      </c>
    </row>
    <row r="22" spans="1:7" ht="54">
      <c r="A22" s="25" t="s">
        <v>746</v>
      </c>
      <c r="B22" s="27" t="s">
        <v>618</v>
      </c>
      <c r="C22" s="86">
        <v>3720000</v>
      </c>
      <c r="D22" s="86">
        <f>'прил 8'!C21</f>
        <v>7700000</v>
      </c>
      <c r="E22" s="86">
        <v>7350000</v>
      </c>
      <c r="F22" s="180">
        <f t="shared" si="2"/>
        <v>3630000</v>
      </c>
      <c r="G22" s="179">
        <f t="shared" si="3"/>
        <v>-350000</v>
      </c>
    </row>
    <row r="23" spans="1:7">
      <c r="A23" s="25" t="s">
        <v>479</v>
      </c>
      <c r="B23" s="27" t="s">
        <v>480</v>
      </c>
      <c r="C23" s="86">
        <f>C24+C25</f>
        <v>27900000</v>
      </c>
      <c r="D23" s="86">
        <f>D24+D25</f>
        <v>27500000</v>
      </c>
      <c r="E23" s="86">
        <f t="shared" ref="E23" si="6">E24+E25</f>
        <v>26300000</v>
      </c>
      <c r="F23" s="180">
        <f t="shared" si="2"/>
        <v>-1600000</v>
      </c>
      <c r="G23" s="179">
        <f t="shared" si="3"/>
        <v>-1200000</v>
      </c>
    </row>
    <row r="24" spans="1:7" ht="36.75" customHeight="1">
      <c r="A24" s="25" t="s">
        <v>651</v>
      </c>
      <c r="B24" s="27" t="s">
        <v>619</v>
      </c>
      <c r="C24" s="86">
        <v>3900000</v>
      </c>
      <c r="D24" s="86">
        <f>'прил 8'!C23</f>
        <v>4500000</v>
      </c>
      <c r="E24" s="86">
        <v>4300000</v>
      </c>
      <c r="F24" s="180">
        <f t="shared" si="2"/>
        <v>400000</v>
      </c>
      <c r="G24" s="179">
        <f t="shared" si="3"/>
        <v>-200000</v>
      </c>
    </row>
    <row r="25" spans="1:7" ht="18.75" customHeight="1">
      <c r="A25" s="25" t="s">
        <v>482</v>
      </c>
      <c r="B25" s="27" t="s">
        <v>481</v>
      </c>
      <c r="C25" s="86">
        <v>24000000</v>
      </c>
      <c r="D25" s="86">
        <f>'прил 8'!C24</f>
        <v>23000000</v>
      </c>
      <c r="E25" s="86">
        <v>22000000</v>
      </c>
      <c r="F25" s="180">
        <f t="shared" si="2"/>
        <v>-2000000</v>
      </c>
      <c r="G25" s="179">
        <f t="shared" si="3"/>
        <v>-1000000</v>
      </c>
    </row>
    <row r="26" spans="1:7">
      <c r="A26" s="25" t="s">
        <v>179</v>
      </c>
      <c r="B26" s="27" t="s">
        <v>180</v>
      </c>
      <c r="C26" s="86">
        <f>C27</f>
        <v>2600000</v>
      </c>
      <c r="D26" s="86">
        <f>D27</f>
        <v>2300000</v>
      </c>
      <c r="E26" s="86">
        <f>E27</f>
        <v>2300000</v>
      </c>
      <c r="F26" s="180">
        <f t="shared" si="2"/>
        <v>-300000</v>
      </c>
      <c r="G26" s="179">
        <f t="shared" si="3"/>
        <v>0</v>
      </c>
    </row>
    <row r="27" spans="1:7" ht="54">
      <c r="A27" s="25" t="s">
        <v>483</v>
      </c>
      <c r="B27" s="27" t="s">
        <v>484</v>
      </c>
      <c r="C27" s="86">
        <v>2600000</v>
      </c>
      <c r="D27" s="86">
        <f>'прил 8'!C26</f>
        <v>2300000</v>
      </c>
      <c r="E27" s="86">
        <v>2300000</v>
      </c>
      <c r="F27" s="180">
        <f t="shared" si="2"/>
        <v>-300000</v>
      </c>
      <c r="G27" s="179">
        <f t="shared" si="3"/>
        <v>0</v>
      </c>
    </row>
    <row r="28" spans="1:7" ht="36" customHeight="1">
      <c r="A28" s="25" t="s">
        <v>181</v>
      </c>
      <c r="B28" s="28" t="s">
        <v>182</v>
      </c>
      <c r="C28" s="86">
        <f>SUM(C29:C31)</f>
        <v>15470000</v>
      </c>
      <c r="D28" s="86">
        <f>SUM(D29:D31)</f>
        <v>15090000</v>
      </c>
      <c r="E28" s="86">
        <f t="shared" ref="E28" si="7">SUM(E29:E31)</f>
        <v>15230000</v>
      </c>
      <c r="F28" s="180">
        <f t="shared" si="2"/>
        <v>-240000</v>
      </c>
      <c r="G28" s="179">
        <f t="shared" si="3"/>
        <v>140000</v>
      </c>
    </row>
    <row r="29" spans="1:7" ht="73.5" customHeight="1">
      <c r="A29" s="25" t="s">
        <v>615</v>
      </c>
      <c r="B29" s="27" t="s">
        <v>620</v>
      </c>
      <c r="C29" s="86">
        <v>10370000</v>
      </c>
      <c r="D29" s="86">
        <f>'прил 8'!C28</f>
        <v>10500000</v>
      </c>
      <c r="E29" s="86">
        <v>10480000</v>
      </c>
      <c r="F29" s="180">
        <f t="shared" si="2"/>
        <v>110000</v>
      </c>
      <c r="G29" s="179">
        <f t="shared" si="3"/>
        <v>-20000</v>
      </c>
    </row>
    <row r="30" spans="1:7" ht="37.5" customHeight="1">
      <c r="A30" s="25" t="s">
        <v>616</v>
      </c>
      <c r="B30" s="27" t="s">
        <v>621</v>
      </c>
      <c r="C30" s="86">
        <v>3100000</v>
      </c>
      <c r="D30" s="86">
        <f>'прил 8'!C29</f>
        <v>2990000</v>
      </c>
      <c r="E30" s="86">
        <v>2950000</v>
      </c>
      <c r="F30" s="180">
        <f t="shared" si="2"/>
        <v>-150000</v>
      </c>
      <c r="G30" s="179">
        <f t="shared" si="3"/>
        <v>-40000</v>
      </c>
    </row>
    <row r="31" spans="1:7" ht="74.25" customHeight="1">
      <c r="A31" s="25" t="s">
        <v>617</v>
      </c>
      <c r="B31" s="27" t="s">
        <v>622</v>
      </c>
      <c r="C31" s="86">
        <v>2000000</v>
      </c>
      <c r="D31" s="86">
        <f>'прил 8'!C30</f>
        <v>1600000</v>
      </c>
      <c r="E31" s="86">
        <v>1800000</v>
      </c>
      <c r="F31" s="180">
        <f t="shared" si="2"/>
        <v>-200000</v>
      </c>
      <c r="G31" s="179">
        <f t="shared" si="3"/>
        <v>200000</v>
      </c>
    </row>
    <row r="32" spans="1:7" ht="24" customHeight="1">
      <c r="A32" s="25" t="s">
        <v>183</v>
      </c>
      <c r="B32" s="28" t="s">
        <v>184</v>
      </c>
      <c r="C32" s="86">
        <f>SUM(C33:C33)</f>
        <v>191000</v>
      </c>
      <c r="D32" s="86">
        <f>SUM(D33:D33)</f>
        <v>163000</v>
      </c>
      <c r="E32" s="86">
        <f t="shared" ref="E32" si="8">SUM(E33:E33)</f>
        <v>163000</v>
      </c>
      <c r="F32" s="180">
        <f t="shared" si="2"/>
        <v>-28000</v>
      </c>
      <c r="G32" s="179">
        <f t="shared" si="3"/>
        <v>0</v>
      </c>
    </row>
    <row r="33" spans="1:7">
      <c r="A33" s="25" t="s">
        <v>185</v>
      </c>
      <c r="B33" s="27" t="s">
        <v>186</v>
      </c>
      <c r="C33" s="86">
        <v>191000</v>
      </c>
      <c r="D33" s="86">
        <f>'прил 8'!C32</f>
        <v>163000</v>
      </c>
      <c r="E33" s="86">
        <v>163000</v>
      </c>
      <c r="F33" s="180">
        <f t="shared" si="2"/>
        <v>-28000</v>
      </c>
      <c r="G33" s="179">
        <f t="shared" si="3"/>
        <v>0</v>
      </c>
    </row>
    <row r="34" spans="1:7" ht="36">
      <c r="A34" s="25" t="s">
        <v>187</v>
      </c>
      <c r="B34" s="27" t="s">
        <v>188</v>
      </c>
      <c r="C34" s="86">
        <f>C35</f>
        <v>1314300</v>
      </c>
      <c r="D34" s="86">
        <f>D35</f>
        <v>742000</v>
      </c>
      <c r="E34" s="86">
        <f t="shared" ref="E34" si="9">E35</f>
        <v>742000</v>
      </c>
      <c r="F34" s="180">
        <f t="shared" si="2"/>
        <v>-572300</v>
      </c>
      <c r="G34" s="179">
        <f t="shared" si="3"/>
        <v>0</v>
      </c>
    </row>
    <row r="35" spans="1:7" ht="36.75" customHeight="1">
      <c r="A35" s="25" t="s">
        <v>641</v>
      </c>
      <c r="B35" s="27" t="s">
        <v>623</v>
      </c>
      <c r="C35" s="86">
        <v>1314300</v>
      </c>
      <c r="D35" s="86">
        <f>'прил 8'!C34</f>
        <v>742000</v>
      </c>
      <c r="E35" s="86">
        <v>742000</v>
      </c>
      <c r="F35" s="180">
        <f t="shared" si="2"/>
        <v>-572300</v>
      </c>
      <c r="G35" s="179">
        <f t="shared" si="3"/>
        <v>0</v>
      </c>
    </row>
    <row r="36" spans="1:7" ht="36">
      <c r="A36" s="25" t="s">
        <v>189</v>
      </c>
      <c r="B36" s="27" t="s">
        <v>190</v>
      </c>
      <c r="C36" s="86">
        <f>C37+C38</f>
        <v>3872850</v>
      </c>
      <c r="D36" s="86">
        <f>D37+D38</f>
        <v>1600000</v>
      </c>
      <c r="E36" s="86">
        <f t="shared" ref="E36" si="10">E37+E38</f>
        <v>1600000</v>
      </c>
      <c r="F36" s="180">
        <f t="shared" si="2"/>
        <v>-2272850</v>
      </c>
      <c r="G36" s="179">
        <f t="shared" si="3"/>
        <v>0</v>
      </c>
    </row>
    <row r="37" spans="1:7" ht="77.25" customHeight="1">
      <c r="A37" s="25" t="s">
        <v>747</v>
      </c>
      <c r="B37" s="27" t="s">
        <v>748</v>
      </c>
      <c r="C37" s="86">
        <v>2620850</v>
      </c>
      <c r="D37" s="86">
        <f>'прил 8'!C36</f>
        <v>1000000</v>
      </c>
      <c r="E37" s="86">
        <v>1000000</v>
      </c>
      <c r="F37" s="180">
        <f t="shared" si="2"/>
        <v>-1620850</v>
      </c>
      <c r="G37" s="179">
        <f t="shared" si="3"/>
        <v>0</v>
      </c>
    </row>
    <row r="38" spans="1:7" ht="57.15" customHeight="1">
      <c r="A38" s="25" t="s">
        <v>643</v>
      </c>
      <c r="B38" s="27" t="s">
        <v>625</v>
      </c>
      <c r="C38" s="86">
        <v>1252000</v>
      </c>
      <c r="D38" s="86">
        <f>'прил 8'!C37</f>
        <v>600000</v>
      </c>
      <c r="E38" s="86">
        <v>600000</v>
      </c>
      <c r="F38" s="180">
        <f t="shared" si="2"/>
        <v>-652000</v>
      </c>
      <c r="G38" s="179">
        <f t="shared" si="3"/>
        <v>0</v>
      </c>
    </row>
    <row r="39" spans="1:7">
      <c r="A39" s="25" t="s">
        <v>191</v>
      </c>
      <c r="B39" s="28" t="s">
        <v>192</v>
      </c>
      <c r="C39" s="87">
        <v>1200000</v>
      </c>
      <c r="D39" s="87">
        <f>'прил 8'!C38</f>
        <v>550000</v>
      </c>
      <c r="E39" s="87">
        <v>550000</v>
      </c>
      <c r="F39" s="180">
        <f t="shared" si="2"/>
        <v>-650000</v>
      </c>
      <c r="G39" s="179">
        <f t="shared" si="3"/>
        <v>0</v>
      </c>
    </row>
    <row r="40" spans="1:7" ht="18.75" customHeight="1">
      <c r="A40" s="25" t="s">
        <v>485</v>
      </c>
      <c r="B40" s="28" t="s">
        <v>486</v>
      </c>
      <c r="C40" s="87">
        <f>C41</f>
        <v>28000</v>
      </c>
      <c r="D40" s="87">
        <f>D41</f>
        <v>28000</v>
      </c>
      <c r="E40" s="87">
        <v>92000</v>
      </c>
      <c r="F40" s="180">
        <f t="shared" si="2"/>
        <v>64000</v>
      </c>
      <c r="G40" s="179">
        <f t="shared" si="3"/>
        <v>64000</v>
      </c>
    </row>
    <row r="41" spans="1:7" ht="18.75" customHeight="1">
      <c r="A41" s="25" t="s">
        <v>644</v>
      </c>
      <c r="B41" s="27" t="s">
        <v>626</v>
      </c>
      <c r="C41" s="86">
        <v>28000</v>
      </c>
      <c r="D41" s="86">
        <v>28000</v>
      </c>
      <c r="E41" s="86">
        <v>92000</v>
      </c>
      <c r="F41" s="180">
        <f t="shared" si="2"/>
        <v>64000</v>
      </c>
      <c r="G41" s="179">
        <f t="shared" si="3"/>
        <v>64000</v>
      </c>
    </row>
    <row r="42" spans="1:7" s="8" customFormat="1" ht="20.25" customHeight="1" collapsed="1">
      <c r="A42" s="30" t="s">
        <v>193</v>
      </c>
      <c r="B42" s="30" t="s">
        <v>194</v>
      </c>
      <c r="C42" s="88">
        <f>C43</f>
        <v>704392468.36000001</v>
      </c>
      <c r="D42" s="88">
        <f>D43</f>
        <v>474165176.51999998</v>
      </c>
      <c r="E42" s="88">
        <f t="shared" ref="E42" si="11">E43</f>
        <v>507367719.21999991</v>
      </c>
      <c r="F42" s="180">
        <f t="shared" si="2"/>
        <v>-197024749.1400001</v>
      </c>
      <c r="G42" s="179">
        <f t="shared" si="3"/>
        <v>33202542.699999928</v>
      </c>
    </row>
    <row r="43" spans="1:7" ht="38.25" customHeight="1">
      <c r="A43" s="31" t="s">
        <v>195</v>
      </c>
      <c r="B43" s="31" t="s">
        <v>243</v>
      </c>
      <c r="C43" s="79">
        <f>C47+C55+C66+C44</f>
        <v>704392468.36000001</v>
      </c>
      <c r="D43" s="79">
        <f>D47+D55+D66+D44</f>
        <v>474165176.51999998</v>
      </c>
      <c r="E43" s="79">
        <f t="shared" ref="E43" si="12">E47+E55+E66+E44</f>
        <v>507367719.21999991</v>
      </c>
      <c r="F43" s="180">
        <f t="shared" si="2"/>
        <v>-197024749.1400001</v>
      </c>
      <c r="G43" s="179">
        <f t="shared" si="3"/>
        <v>33202542.699999928</v>
      </c>
    </row>
    <row r="44" spans="1:7" ht="38.25" customHeight="1">
      <c r="A44" s="31" t="s">
        <v>716</v>
      </c>
      <c r="B44" s="31" t="s">
        <v>717</v>
      </c>
      <c r="C44" s="79">
        <f>C46+C45</f>
        <v>58735270</v>
      </c>
      <c r="D44" s="79">
        <f>D46+D45</f>
        <v>0</v>
      </c>
      <c r="E44" s="79">
        <f t="shared" ref="E44" si="13">E46+E45</f>
        <v>40328000</v>
      </c>
      <c r="F44" s="180">
        <f t="shared" si="2"/>
        <v>-18407270</v>
      </c>
      <c r="G44" s="179">
        <f t="shared" si="3"/>
        <v>40328000</v>
      </c>
    </row>
    <row r="45" spans="1:7" ht="38.25" customHeight="1">
      <c r="A45" s="31" t="s">
        <v>733</v>
      </c>
      <c r="B45" s="31" t="s">
        <v>732</v>
      </c>
      <c r="C45" s="79">
        <f>6062770+11069500</f>
        <v>17132270</v>
      </c>
      <c r="D45" s="79">
        <v>0</v>
      </c>
      <c r="E45" s="79"/>
      <c r="F45" s="180">
        <f t="shared" si="2"/>
        <v>-17132270</v>
      </c>
      <c r="G45" s="179">
        <f t="shared" si="3"/>
        <v>0</v>
      </c>
    </row>
    <row r="46" spans="1:7" ht="38.25" customHeight="1">
      <c r="A46" s="31" t="s">
        <v>718</v>
      </c>
      <c r="B46" s="31" t="s">
        <v>719</v>
      </c>
      <c r="C46" s="79">
        <v>41603000</v>
      </c>
      <c r="D46" s="79">
        <v>0</v>
      </c>
      <c r="E46" s="79">
        <v>40328000</v>
      </c>
      <c r="F46" s="180">
        <f t="shared" si="2"/>
        <v>-1275000</v>
      </c>
      <c r="G46" s="179">
        <f t="shared" si="3"/>
        <v>40328000</v>
      </c>
    </row>
    <row r="47" spans="1:7" ht="38.25" customHeight="1">
      <c r="A47" s="31" t="s">
        <v>298</v>
      </c>
      <c r="B47" s="31" t="s">
        <v>289</v>
      </c>
      <c r="C47" s="79">
        <f>C50+C51+C53+C54+C49+C48+C52</f>
        <v>255574957.72999999</v>
      </c>
      <c r="D47" s="79">
        <f>D50+D51+D53+D54+D49+D48+D52</f>
        <v>22999544.349999998</v>
      </c>
      <c r="E47" s="79">
        <f t="shared" ref="E47" si="14">E50+E51+E53+E54+E49+E48+E52</f>
        <v>57911798.879999995</v>
      </c>
      <c r="F47" s="180">
        <f t="shared" si="2"/>
        <v>-197663158.84999999</v>
      </c>
      <c r="G47" s="179">
        <f t="shared" si="3"/>
        <v>34912254.530000001</v>
      </c>
    </row>
    <row r="48" spans="1:7" ht="75.150000000000006" customHeight="1">
      <c r="A48" s="31" t="s">
        <v>683</v>
      </c>
      <c r="B48" s="31" t="s">
        <v>682</v>
      </c>
      <c r="C48" s="79">
        <v>2383135.7799999998</v>
      </c>
      <c r="D48" s="79">
        <f>'прил 8'!C44</f>
        <v>2498730</v>
      </c>
      <c r="E48" s="79">
        <v>0</v>
      </c>
      <c r="F48" s="180">
        <f t="shared" si="2"/>
        <v>-2383135.7799999998</v>
      </c>
      <c r="G48" s="179">
        <f t="shared" si="3"/>
        <v>-2498730</v>
      </c>
    </row>
    <row r="49" spans="1:9" ht="58.65" customHeight="1">
      <c r="A49" s="31" t="s">
        <v>681</v>
      </c>
      <c r="B49" s="31" t="s">
        <v>680</v>
      </c>
      <c r="C49" s="79">
        <v>2966378</v>
      </c>
      <c r="D49" s="79">
        <v>0</v>
      </c>
      <c r="E49" s="79">
        <v>0</v>
      </c>
      <c r="F49" s="180">
        <f t="shared" si="2"/>
        <v>-2966378</v>
      </c>
      <c r="G49" s="179">
        <f t="shared" si="3"/>
        <v>0</v>
      </c>
    </row>
    <row r="50" spans="1:9" ht="93.15" customHeight="1">
      <c r="A50" s="31" t="s">
        <v>645</v>
      </c>
      <c r="B50" s="31" t="s">
        <v>627</v>
      </c>
      <c r="C50" s="79">
        <v>30570498.050000001</v>
      </c>
      <c r="D50" s="79">
        <v>0</v>
      </c>
      <c r="E50" s="79">
        <v>0</v>
      </c>
      <c r="F50" s="180">
        <f t="shared" si="2"/>
        <v>-30570498.050000001</v>
      </c>
      <c r="G50" s="179">
        <f t="shared" si="3"/>
        <v>0</v>
      </c>
    </row>
    <row r="51" spans="1:9" ht="38.25" customHeight="1">
      <c r="A51" s="31" t="s">
        <v>646</v>
      </c>
      <c r="B51" s="33" t="s">
        <v>628</v>
      </c>
      <c r="C51" s="79">
        <f>143460299.73+12533781.91</f>
        <v>155994081.63999999</v>
      </c>
      <c r="D51" s="79">
        <v>0</v>
      </c>
      <c r="E51" s="79">
        <v>0</v>
      </c>
      <c r="F51" s="180">
        <f t="shared" si="2"/>
        <v>-155994081.63999999</v>
      </c>
      <c r="G51" s="179">
        <f t="shared" si="3"/>
        <v>0</v>
      </c>
    </row>
    <row r="52" spans="1:9" ht="55.5" customHeight="1">
      <c r="A52" s="31" t="s">
        <v>679</v>
      </c>
      <c r="B52" s="33" t="s">
        <v>678</v>
      </c>
      <c r="C52" s="79">
        <v>385100</v>
      </c>
      <c r="D52" s="79">
        <f>'прил 8'!C45</f>
        <v>628827.65</v>
      </c>
      <c r="E52" s="79">
        <v>579843.25</v>
      </c>
      <c r="F52" s="180">
        <f t="shared" si="2"/>
        <v>194743.25</v>
      </c>
      <c r="G52" s="179">
        <f t="shared" si="3"/>
        <v>-48984.400000000023</v>
      </c>
    </row>
    <row r="53" spans="1:9" ht="57.75" customHeight="1">
      <c r="A53" s="31" t="s">
        <v>647</v>
      </c>
      <c r="B53" s="33" t="s">
        <v>629</v>
      </c>
      <c r="C53" s="79">
        <v>6815762.04</v>
      </c>
      <c r="D53" s="79">
        <f>'прил 8'!C47</f>
        <v>6583307.1100000003</v>
      </c>
      <c r="E53" s="79">
        <v>6609028.2699999996</v>
      </c>
      <c r="F53" s="180">
        <f t="shared" si="2"/>
        <v>-206733.77000000048</v>
      </c>
      <c r="G53" s="179">
        <f t="shared" si="3"/>
        <v>25721.159999999218</v>
      </c>
    </row>
    <row r="54" spans="1:9" ht="20.25" customHeight="1">
      <c r="A54" s="31" t="s">
        <v>648</v>
      </c>
      <c r="B54" s="31" t="s">
        <v>630</v>
      </c>
      <c r="C54" s="79">
        <f>43080093.06-2966378+6000000+346287.16+10000000</f>
        <v>56460002.219999999</v>
      </c>
      <c r="D54" s="79">
        <f>'прил 8'!C49</f>
        <v>13288679.59</v>
      </c>
      <c r="E54" s="79">
        <f>703249+36003230.04+7160868.76+6855579.56</f>
        <v>50722927.359999999</v>
      </c>
      <c r="F54" s="180">
        <f t="shared" si="2"/>
        <v>-5737074.8599999994</v>
      </c>
      <c r="G54" s="179">
        <f t="shared" si="3"/>
        <v>37434247.769999996</v>
      </c>
    </row>
    <row r="55" spans="1:9" ht="18.75" customHeight="1">
      <c r="A55" s="32" t="s">
        <v>287</v>
      </c>
      <c r="B55" s="31" t="s">
        <v>251</v>
      </c>
      <c r="C55" s="79">
        <f>C63+C56+C58+C57+C59+C61+C62+C60+C65+C64</f>
        <v>369490240.63</v>
      </c>
      <c r="D55" s="79">
        <f>D63+D56+D58+D57+D59+D61+D62+D60+D65+D64</f>
        <v>430690632.16999996</v>
      </c>
      <c r="E55" s="79">
        <f t="shared" ref="E55" si="15">E63+E56+E58+E57+E59+E61+E62+E60+E65+E64</f>
        <v>388652920.33999991</v>
      </c>
      <c r="F55" s="180">
        <f t="shared" si="2"/>
        <v>19162679.709999919</v>
      </c>
      <c r="G55" s="179">
        <f t="shared" si="3"/>
        <v>-42037711.830000043</v>
      </c>
    </row>
    <row r="56" spans="1:9" ht="54">
      <c r="A56" s="31" t="s">
        <v>649</v>
      </c>
      <c r="B56" s="31" t="s">
        <v>631</v>
      </c>
      <c r="C56" s="79">
        <f>352889962.26+6226250-10506056</f>
        <v>348610156.25999999</v>
      </c>
      <c r="D56" s="79">
        <f>'прил 8'!C51</f>
        <v>411574293.16999996</v>
      </c>
      <c r="E56" s="79">
        <f>238943015.2+830909+81227204+1847300+324127.09+1310000+3387.08+1950219+21927344.4+6117450+12971400+704151.93</f>
        <v>368156507.69999993</v>
      </c>
      <c r="F56" s="180">
        <f t="shared" si="2"/>
        <v>19546351.439999938</v>
      </c>
      <c r="G56" s="179">
        <f t="shared" si="3"/>
        <v>-43417785.470000029</v>
      </c>
    </row>
    <row r="57" spans="1:9" ht="75.75" customHeight="1">
      <c r="A57" s="31" t="s">
        <v>650</v>
      </c>
      <c r="B57" s="33" t="s">
        <v>632</v>
      </c>
      <c r="C57" s="79">
        <f>3404117</f>
        <v>3404117</v>
      </c>
      <c r="D57" s="79">
        <f>'прил 8'!C52</f>
        <v>3179069</v>
      </c>
      <c r="E57" s="79">
        <v>3179069</v>
      </c>
      <c r="F57" s="180">
        <f t="shared" si="2"/>
        <v>-225048</v>
      </c>
      <c r="G57" s="179">
        <f t="shared" si="3"/>
        <v>0</v>
      </c>
      <c r="I57" s="7" t="s">
        <v>51</v>
      </c>
    </row>
    <row r="58" spans="1:9" ht="37.5" customHeight="1">
      <c r="A58" s="31" t="s">
        <v>652</v>
      </c>
      <c r="B58" s="33" t="s">
        <v>633</v>
      </c>
      <c r="C58" s="79">
        <v>1334332</v>
      </c>
      <c r="D58" s="79">
        <f>'прил 8'!C53</f>
        <v>1442603</v>
      </c>
      <c r="E58" s="79">
        <v>1348180</v>
      </c>
      <c r="F58" s="180">
        <f t="shared" si="2"/>
        <v>13848</v>
      </c>
      <c r="G58" s="179">
        <f t="shared" si="3"/>
        <v>-94423</v>
      </c>
    </row>
    <row r="59" spans="1:9" ht="56.25" customHeight="1">
      <c r="A59" s="31" t="s">
        <v>653</v>
      </c>
      <c r="B59" s="33" t="s">
        <v>634</v>
      </c>
      <c r="C59" s="79">
        <v>32752.48</v>
      </c>
      <c r="D59" s="79">
        <f>'прил 8'!C54</f>
        <v>13010</v>
      </c>
      <c r="E59" s="79">
        <v>193185</v>
      </c>
      <c r="F59" s="180">
        <f t="shared" si="2"/>
        <v>160432.51999999999</v>
      </c>
      <c r="G59" s="179">
        <f t="shared" si="3"/>
        <v>180175</v>
      </c>
    </row>
    <row r="60" spans="1:9" ht="56.25" customHeight="1">
      <c r="A60" s="31" t="s">
        <v>654</v>
      </c>
      <c r="B60" s="33" t="s">
        <v>635</v>
      </c>
      <c r="C60" s="79">
        <v>1021243.89</v>
      </c>
      <c r="D60" s="79">
        <f>'прил 8'!C55</f>
        <v>0</v>
      </c>
      <c r="E60" s="79">
        <v>1035455.64</v>
      </c>
      <c r="F60" s="180">
        <f t="shared" si="2"/>
        <v>14211.75</v>
      </c>
      <c r="G60" s="179">
        <f t="shared" si="3"/>
        <v>1035455.64</v>
      </c>
    </row>
    <row r="61" spans="1:9" ht="56.25" customHeight="1">
      <c r="A61" s="31" t="s">
        <v>655</v>
      </c>
      <c r="B61" s="33" t="s">
        <v>636</v>
      </c>
      <c r="C61" s="79">
        <v>11114600</v>
      </c>
      <c r="D61" s="79">
        <f>'прил 8'!C56</f>
        <v>10876600</v>
      </c>
      <c r="E61" s="79">
        <v>10876600</v>
      </c>
      <c r="F61" s="180">
        <f t="shared" si="2"/>
        <v>-238000</v>
      </c>
      <c r="G61" s="179">
        <f t="shared" si="3"/>
        <v>0</v>
      </c>
    </row>
    <row r="62" spans="1:9" ht="38.25" customHeight="1">
      <c r="A62" s="31" t="s">
        <v>656</v>
      </c>
      <c r="B62" s="33" t="s">
        <v>637</v>
      </c>
      <c r="C62" s="79">
        <v>307152</v>
      </c>
      <c r="D62" s="79">
        <v>0</v>
      </c>
      <c r="E62" s="79">
        <v>0</v>
      </c>
      <c r="F62" s="180">
        <f t="shared" si="2"/>
        <v>-307152</v>
      </c>
      <c r="G62" s="179">
        <f t="shared" si="3"/>
        <v>0</v>
      </c>
    </row>
    <row r="63" spans="1:9" ht="54">
      <c r="A63" s="31" t="s">
        <v>657</v>
      </c>
      <c r="B63" s="31" t="s">
        <v>638</v>
      </c>
      <c r="C63" s="79">
        <f>1361162+34030+272232-272232</f>
        <v>1395192</v>
      </c>
      <c r="D63" s="79">
        <f>'прил 8'!C57</f>
        <v>1430240</v>
      </c>
      <c r="E63" s="79">
        <v>1414316</v>
      </c>
      <c r="F63" s="180">
        <f t="shared" si="2"/>
        <v>19124</v>
      </c>
      <c r="G63" s="179">
        <f t="shared" si="3"/>
        <v>-15924</v>
      </c>
    </row>
    <row r="64" spans="1:9">
      <c r="A64" s="31" t="s">
        <v>744</v>
      </c>
      <c r="B64" s="31" t="s">
        <v>745</v>
      </c>
      <c r="C64" s="79">
        <v>272232</v>
      </c>
      <c r="D64" s="79">
        <v>0</v>
      </c>
      <c r="E64" s="79">
        <v>353579</v>
      </c>
      <c r="F64" s="180">
        <f t="shared" si="2"/>
        <v>81347</v>
      </c>
      <c r="G64" s="179">
        <f t="shared" si="3"/>
        <v>353579</v>
      </c>
    </row>
    <row r="65" spans="1:7" ht="36">
      <c r="A65" s="31" t="s">
        <v>658</v>
      </c>
      <c r="B65" s="31" t="s">
        <v>639</v>
      </c>
      <c r="C65" s="79">
        <v>1998463</v>
      </c>
      <c r="D65" s="79">
        <f>'прил 8'!C58</f>
        <v>2174817</v>
      </c>
      <c r="E65" s="79">
        <v>2096028</v>
      </c>
      <c r="F65" s="180">
        <f t="shared" si="2"/>
        <v>97565</v>
      </c>
      <c r="G65" s="179">
        <f t="shared" si="3"/>
        <v>-78789</v>
      </c>
    </row>
    <row r="66" spans="1:7">
      <c r="A66" s="31" t="s">
        <v>564</v>
      </c>
      <c r="B66" s="31" t="s">
        <v>565</v>
      </c>
      <c r="C66" s="79">
        <f>C67</f>
        <v>20592000</v>
      </c>
      <c r="D66" s="79">
        <f>D67</f>
        <v>20475000</v>
      </c>
      <c r="E66" s="79">
        <f>E67</f>
        <v>20475000</v>
      </c>
      <c r="F66" s="180">
        <f t="shared" si="2"/>
        <v>-117000</v>
      </c>
      <c r="G66" s="179">
        <f t="shared" si="3"/>
        <v>0</v>
      </c>
    </row>
    <row r="67" spans="1:7" ht="55.5" customHeight="1">
      <c r="A67" s="31" t="s">
        <v>659</v>
      </c>
      <c r="B67" s="31" t="s">
        <v>640</v>
      </c>
      <c r="C67" s="79">
        <v>20592000</v>
      </c>
      <c r="D67" s="79">
        <f>'прил 8'!C61</f>
        <v>20475000</v>
      </c>
      <c r="E67" s="79">
        <v>20475000</v>
      </c>
      <c r="F67" s="180">
        <f t="shared" si="2"/>
        <v>-117000</v>
      </c>
      <c r="G67" s="179">
        <f t="shared" si="3"/>
        <v>0</v>
      </c>
    </row>
    <row r="68" spans="1:7" ht="17.399999999999999">
      <c r="A68" s="34"/>
      <c r="B68" s="35" t="s">
        <v>125</v>
      </c>
      <c r="C68" s="89">
        <f>C13+C42</f>
        <v>1045040718.36</v>
      </c>
      <c r="D68" s="89">
        <f>D13+D42</f>
        <v>900919176.51999998</v>
      </c>
      <c r="E68" s="89">
        <f t="shared" ref="E68" si="16">E13+E42</f>
        <v>942094719.21999991</v>
      </c>
      <c r="F68" s="180">
        <f t="shared" si="2"/>
        <v>-102945999.1400001</v>
      </c>
      <c r="G68" s="179">
        <f t="shared" si="3"/>
        <v>41175542.699999928</v>
      </c>
    </row>
    <row r="69" spans="1:7">
      <c r="A69" s="36"/>
      <c r="B69" s="37"/>
      <c r="C69" s="66"/>
      <c r="D69" s="66"/>
    </row>
    <row r="70" spans="1:7">
      <c r="A70" s="36"/>
      <c r="B70" s="37"/>
      <c r="C70" s="66"/>
      <c r="D70" s="66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66"/>
  <sheetViews>
    <sheetView view="pageBreakPreview" topLeftCell="A56" zoomScale="90" zoomScaleNormal="100" zoomScaleSheetLayoutView="90" workbookViewId="0">
      <selection activeCell="D1" sqref="D1"/>
    </sheetView>
  </sheetViews>
  <sheetFormatPr defaultRowHeight="18"/>
  <cols>
    <col min="1" max="1" width="28.44140625" style="21" customWidth="1"/>
    <col min="2" max="2" width="66.6640625" style="22" customWidth="1"/>
    <col min="3" max="4" width="19.88671875" style="14" customWidth="1"/>
    <col min="5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6">
      <c r="D1" s="14" t="s">
        <v>950</v>
      </c>
    </row>
    <row r="2" spans="1:6">
      <c r="C2" s="350" t="s">
        <v>930</v>
      </c>
      <c r="D2" s="350"/>
    </row>
    <row r="3" spans="1:6">
      <c r="C3" s="350" t="s">
        <v>940</v>
      </c>
      <c r="D3" s="350"/>
    </row>
    <row r="4" spans="1:6">
      <c r="C4" s="350" t="s">
        <v>945</v>
      </c>
      <c r="D4" s="350"/>
    </row>
    <row r="5" spans="1:6">
      <c r="D5" s="73" t="s">
        <v>434</v>
      </c>
    </row>
    <row r="6" spans="1:6">
      <c r="D6" s="73" t="s">
        <v>933</v>
      </c>
    </row>
    <row r="7" spans="1:6">
      <c r="D7" s="73" t="s">
        <v>664</v>
      </c>
    </row>
    <row r="8" spans="1:6">
      <c r="D8" s="73" t="s">
        <v>937</v>
      </c>
    </row>
    <row r="9" spans="1:6" ht="17.399999999999999">
      <c r="A9" s="353" t="s">
        <v>241</v>
      </c>
      <c r="B9" s="353"/>
      <c r="C9" s="353"/>
      <c r="D9" s="353"/>
    </row>
    <row r="10" spans="1:6">
      <c r="A10" s="354" t="s">
        <v>810</v>
      </c>
      <c r="B10" s="354"/>
      <c r="C10" s="354"/>
      <c r="D10" s="354"/>
    </row>
    <row r="11" spans="1:6">
      <c r="D11" s="65" t="s">
        <v>408</v>
      </c>
    </row>
    <row r="12" spans="1:6" ht="52.5" customHeight="1">
      <c r="A12" s="29" t="s">
        <v>159</v>
      </c>
      <c r="B12" s="24" t="s">
        <v>164</v>
      </c>
      <c r="C12" s="138" t="s">
        <v>473</v>
      </c>
      <c r="D12" s="138" t="s">
        <v>761</v>
      </c>
    </row>
    <row r="13" spans="1:6" ht="19.5" customHeight="1">
      <c r="A13" s="141" t="s">
        <v>487</v>
      </c>
      <c r="B13" s="142" t="s">
        <v>166</v>
      </c>
      <c r="C13" s="152">
        <f>C14+C16+C18+C22+C25+C27+C31+C33+C35+C38+C39</f>
        <v>426818000</v>
      </c>
      <c r="D13" s="152">
        <f>D14+D16+D18+D22+D25+D27+D31+D33+D35+D38+D39</f>
        <v>439403000</v>
      </c>
      <c r="E13" s="7">
        <f>C13/C62*100</f>
        <v>46.954382628197216</v>
      </c>
      <c r="F13" s="7">
        <f>D13/D62*100</f>
        <v>46.807322011235648</v>
      </c>
    </row>
    <row r="14" spans="1:6" ht="19.5" customHeight="1">
      <c r="A14" s="143" t="s">
        <v>167</v>
      </c>
      <c r="B14" s="144" t="s">
        <v>488</v>
      </c>
      <c r="C14" s="150">
        <f t="shared" ref="C14:D14" si="0">C15</f>
        <v>340274000</v>
      </c>
      <c r="D14" s="150">
        <f t="shared" si="0"/>
        <v>349810000</v>
      </c>
      <c r="E14" s="7">
        <f>C14/C62*100</f>
        <v>37.433649926730311</v>
      </c>
      <c r="F14" s="7">
        <f>D14/D62*100</f>
        <v>37.263444520748244</v>
      </c>
    </row>
    <row r="15" spans="1:6" ht="19.5" customHeight="1">
      <c r="A15" s="143" t="s">
        <v>169</v>
      </c>
      <c r="B15" s="143" t="s">
        <v>170</v>
      </c>
      <c r="C15" s="151">
        <v>340274000</v>
      </c>
      <c r="D15" s="151">
        <v>349810000</v>
      </c>
    </row>
    <row r="16" spans="1:6" ht="54">
      <c r="A16" s="143" t="s">
        <v>171</v>
      </c>
      <c r="B16" s="145" t="s">
        <v>489</v>
      </c>
      <c r="C16" s="151">
        <f>C17</f>
        <v>13057000</v>
      </c>
      <c r="D16" s="151">
        <f>D17</f>
        <v>14066000</v>
      </c>
      <c r="E16" s="7">
        <f>C16/C62*100</f>
        <v>1.4364046829711283</v>
      </c>
      <c r="F16" s="7">
        <f>D16/D62*100</f>
        <v>1.4983780070004997</v>
      </c>
    </row>
    <row r="17" spans="1:6" ht="36">
      <c r="A17" s="143" t="s">
        <v>173</v>
      </c>
      <c r="B17" s="145" t="s">
        <v>174</v>
      </c>
      <c r="C17" s="151">
        <v>13057000</v>
      </c>
      <c r="D17" s="151">
        <v>14066000</v>
      </c>
    </row>
    <row r="18" spans="1:6" ht="36.75" customHeight="1">
      <c r="A18" s="146" t="s">
        <v>175</v>
      </c>
      <c r="B18" s="146" t="s">
        <v>490</v>
      </c>
      <c r="C18" s="151">
        <f t="shared" ref="C18:D18" si="1">C19+C20+C21</f>
        <v>25450000</v>
      </c>
      <c r="D18" s="151">
        <f t="shared" si="1"/>
        <v>26350000</v>
      </c>
      <c r="E18" s="7">
        <f>C18/C62*100</f>
        <v>2.7997625167814366</v>
      </c>
      <c r="F18" s="7">
        <f>D18/D62*100</f>
        <v>2.8069287988385585</v>
      </c>
    </row>
    <row r="19" spans="1:6" ht="36.75" customHeight="1">
      <c r="A19" s="160" t="s">
        <v>476</v>
      </c>
      <c r="B19" s="160" t="s">
        <v>477</v>
      </c>
      <c r="C19" s="151">
        <v>16500000</v>
      </c>
      <c r="D19" s="151">
        <v>17000000</v>
      </c>
    </row>
    <row r="20" spans="1:6" ht="19.5" customHeight="1">
      <c r="A20" s="147" t="s">
        <v>491</v>
      </c>
      <c r="B20" s="147" t="s">
        <v>178</v>
      </c>
      <c r="C20" s="151">
        <v>1250000</v>
      </c>
      <c r="D20" s="151">
        <v>1250000</v>
      </c>
    </row>
    <row r="21" spans="1:6" ht="54">
      <c r="A21" s="147" t="s">
        <v>478</v>
      </c>
      <c r="B21" s="147" t="s">
        <v>618</v>
      </c>
      <c r="C21" s="151">
        <v>7700000</v>
      </c>
      <c r="D21" s="151">
        <v>8100000</v>
      </c>
    </row>
    <row r="22" spans="1:6" ht="18.75" customHeight="1">
      <c r="A22" s="147" t="s">
        <v>479</v>
      </c>
      <c r="B22" s="147" t="s">
        <v>480</v>
      </c>
      <c r="C22" s="151">
        <f t="shared" ref="C22:D22" si="2">C23+C24</f>
        <v>27500000</v>
      </c>
      <c r="D22" s="151">
        <f t="shared" si="2"/>
        <v>28700000</v>
      </c>
      <c r="E22" s="7">
        <f>C22/C62*100</f>
        <v>3.0252836625339685</v>
      </c>
      <c r="F22" s="7">
        <f>D22/D62*100</f>
        <v>3.0572621072738762</v>
      </c>
    </row>
    <row r="23" spans="1:6" ht="54">
      <c r="A23" s="147" t="s">
        <v>651</v>
      </c>
      <c r="B23" s="147" t="s">
        <v>619</v>
      </c>
      <c r="C23" s="151">
        <v>4500000</v>
      </c>
      <c r="D23" s="151">
        <v>4700000</v>
      </c>
    </row>
    <row r="24" spans="1:6" ht="24" customHeight="1">
      <c r="A24" s="147" t="s">
        <v>482</v>
      </c>
      <c r="B24" s="147" t="s">
        <v>481</v>
      </c>
      <c r="C24" s="151">
        <v>23000000</v>
      </c>
      <c r="D24" s="151">
        <v>24000000</v>
      </c>
    </row>
    <row r="25" spans="1:6">
      <c r="A25" s="146" t="s">
        <v>179</v>
      </c>
      <c r="B25" s="146" t="s">
        <v>492</v>
      </c>
      <c r="C25" s="151">
        <f t="shared" ref="C25:D25" si="3">C26</f>
        <v>2300000</v>
      </c>
      <c r="D25" s="151">
        <f t="shared" si="3"/>
        <v>2400000</v>
      </c>
      <c r="E25" s="7">
        <f>C25/C62*100</f>
        <v>0.253023724502841</v>
      </c>
      <c r="F25" s="7">
        <f>D25/D62*100</f>
        <v>0.25565954904032417</v>
      </c>
    </row>
    <row r="26" spans="1:6" ht="55.5" customHeight="1">
      <c r="A26" s="147" t="s">
        <v>483</v>
      </c>
      <c r="B26" s="148" t="s">
        <v>484</v>
      </c>
      <c r="C26" s="151">
        <v>2300000</v>
      </c>
      <c r="D26" s="151">
        <v>2400000</v>
      </c>
    </row>
    <row r="27" spans="1:6" ht="54">
      <c r="A27" s="147" t="s">
        <v>181</v>
      </c>
      <c r="B27" s="147" t="s">
        <v>493</v>
      </c>
      <c r="C27" s="151">
        <f>C28+C29+C30</f>
        <v>15090000</v>
      </c>
      <c r="D27" s="151">
        <f>D28+D29+D30</f>
        <v>14930000</v>
      </c>
      <c r="E27" s="7">
        <f>C27/C62*100</f>
        <v>1.6600556533686397</v>
      </c>
      <c r="F27" s="7">
        <f>D27/D62*100</f>
        <v>1.5904154446550165</v>
      </c>
    </row>
    <row r="28" spans="1:6" ht="108">
      <c r="A28" s="147" t="s">
        <v>615</v>
      </c>
      <c r="B28" s="148" t="s">
        <v>620</v>
      </c>
      <c r="C28" s="151">
        <v>10500000</v>
      </c>
      <c r="D28" s="151">
        <v>10500000</v>
      </c>
    </row>
    <row r="29" spans="1:6" ht="60.75" customHeight="1">
      <c r="A29" s="149" t="s">
        <v>616</v>
      </c>
      <c r="B29" s="162" t="s">
        <v>621</v>
      </c>
      <c r="C29" s="151">
        <v>2990000</v>
      </c>
      <c r="D29" s="151">
        <v>3030000</v>
      </c>
    </row>
    <row r="30" spans="1:6" ht="108">
      <c r="A30" s="147" t="s">
        <v>617</v>
      </c>
      <c r="B30" s="148" t="s">
        <v>622</v>
      </c>
      <c r="C30" s="151">
        <v>1600000</v>
      </c>
      <c r="D30" s="151">
        <v>1400000</v>
      </c>
    </row>
    <row r="31" spans="1:6" ht="36">
      <c r="A31" s="147" t="s">
        <v>183</v>
      </c>
      <c r="B31" s="146" t="s">
        <v>494</v>
      </c>
      <c r="C31" s="151">
        <f t="shared" ref="C31:D31" si="4">C32</f>
        <v>163000</v>
      </c>
      <c r="D31" s="151">
        <f t="shared" si="4"/>
        <v>163000</v>
      </c>
      <c r="E31" s="7">
        <f>C31/C62*100</f>
        <v>1.7931681345201341E-2</v>
      </c>
      <c r="F31" s="7">
        <f>D31/D62*100</f>
        <v>1.7363544372322015E-2</v>
      </c>
    </row>
    <row r="32" spans="1:6" ht="19.5" customHeight="1">
      <c r="A32" s="147" t="s">
        <v>185</v>
      </c>
      <c r="B32" s="148" t="s">
        <v>186</v>
      </c>
      <c r="C32" s="151">
        <v>163000</v>
      </c>
      <c r="D32" s="151">
        <v>163000</v>
      </c>
    </row>
    <row r="33" spans="1:6" ht="39.75" customHeight="1">
      <c r="A33" s="147" t="s">
        <v>187</v>
      </c>
      <c r="B33" s="146" t="s">
        <v>495</v>
      </c>
      <c r="C33" s="151">
        <f t="shared" ref="C33:D33" si="5">C34</f>
        <v>742000</v>
      </c>
      <c r="D33" s="151">
        <f t="shared" si="5"/>
        <v>742000</v>
      </c>
      <c r="E33" s="7">
        <f>C33/C62*100</f>
        <v>8.1627653730916544E-2</v>
      </c>
      <c r="F33" s="7">
        <f>D33/D62*100</f>
        <v>7.904141057830022E-2</v>
      </c>
    </row>
    <row r="34" spans="1:6" ht="57.15" customHeight="1">
      <c r="A34" s="147" t="s">
        <v>641</v>
      </c>
      <c r="B34" s="148" t="s">
        <v>623</v>
      </c>
      <c r="C34" s="151">
        <v>742000</v>
      </c>
      <c r="D34" s="151">
        <v>742000</v>
      </c>
    </row>
    <row r="35" spans="1:6" ht="19.5" customHeight="1">
      <c r="A35" s="147" t="s">
        <v>189</v>
      </c>
      <c r="B35" s="148" t="s">
        <v>496</v>
      </c>
      <c r="C35" s="151">
        <f t="shared" ref="C35:D35" si="6">C36+C37</f>
        <v>1600000</v>
      </c>
      <c r="D35" s="151">
        <f t="shared" si="6"/>
        <v>1600000</v>
      </c>
      <c r="E35" s="7">
        <f>C35/C62*100</f>
        <v>0.17601650400197635</v>
      </c>
      <c r="F35" s="7">
        <f>D35/D62*100</f>
        <v>0.17043969936021611</v>
      </c>
    </row>
    <row r="36" spans="1:6" ht="113.25" customHeight="1">
      <c r="A36" s="147" t="s">
        <v>642</v>
      </c>
      <c r="B36" s="148" t="s">
        <v>624</v>
      </c>
      <c r="C36" s="151">
        <v>1000000</v>
      </c>
      <c r="D36" s="151">
        <v>1000000</v>
      </c>
    </row>
    <row r="37" spans="1:6" ht="54" customHeight="1">
      <c r="A37" s="147" t="s">
        <v>643</v>
      </c>
      <c r="B37" s="148" t="s">
        <v>660</v>
      </c>
      <c r="C37" s="151">
        <v>600000</v>
      </c>
      <c r="D37" s="151">
        <v>600000</v>
      </c>
    </row>
    <row r="38" spans="1:6">
      <c r="A38" s="147" t="s">
        <v>191</v>
      </c>
      <c r="B38" s="146" t="s">
        <v>192</v>
      </c>
      <c r="C38" s="151">
        <v>550000</v>
      </c>
      <c r="D38" s="151">
        <v>550000</v>
      </c>
      <c r="E38" s="7">
        <f>C38/C62*100</f>
        <v>6.0505673250679369E-2</v>
      </c>
      <c r="F38" s="7">
        <f>D38/D62*100</f>
        <v>5.8588646655074281E-2</v>
      </c>
    </row>
    <row r="39" spans="1:6">
      <c r="A39" s="144" t="s">
        <v>485</v>
      </c>
      <c r="B39" s="143" t="s">
        <v>486</v>
      </c>
      <c r="C39" s="151">
        <f t="shared" ref="C39:D39" si="7">C40</f>
        <v>92000</v>
      </c>
      <c r="D39" s="151">
        <f t="shared" si="7"/>
        <v>92000</v>
      </c>
      <c r="E39" s="7">
        <f>C39/C62*100</f>
        <v>1.0120948980113641E-2</v>
      </c>
      <c r="F39" s="7">
        <f>D39/D62*100</f>
        <v>9.8002827132124253E-3</v>
      </c>
    </row>
    <row r="40" spans="1:6" ht="32.25" customHeight="1">
      <c r="A40" s="147" t="s">
        <v>644</v>
      </c>
      <c r="B40" s="146" t="s">
        <v>626</v>
      </c>
      <c r="C40" s="151">
        <v>92000</v>
      </c>
      <c r="D40" s="151">
        <v>92000</v>
      </c>
    </row>
    <row r="41" spans="1:6" s="8" customFormat="1" ht="18" customHeight="1" collapsed="1">
      <c r="A41" s="30" t="s">
        <v>193</v>
      </c>
      <c r="B41" s="30" t="s">
        <v>194</v>
      </c>
      <c r="C41" s="88">
        <f>C42</f>
        <v>482187669.13999999</v>
      </c>
      <c r="D41" s="88">
        <f>D42</f>
        <v>499345428.92000002</v>
      </c>
    </row>
    <row r="42" spans="1:6" ht="54">
      <c r="A42" s="32" t="s">
        <v>195</v>
      </c>
      <c r="B42" s="31" t="s">
        <v>243</v>
      </c>
      <c r="C42" s="79">
        <f>C43+C50+C60</f>
        <v>482187669.13999999</v>
      </c>
      <c r="D42" s="79">
        <f>D43+D50+D60</f>
        <v>499345428.92000002</v>
      </c>
    </row>
    <row r="43" spans="1:6" ht="36">
      <c r="A43" s="31" t="s">
        <v>298</v>
      </c>
      <c r="B43" s="31" t="s">
        <v>289</v>
      </c>
      <c r="C43" s="79">
        <f>C46+C47+C49+C44+C45+C48</f>
        <v>30668457.969999999</v>
      </c>
      <c r="D43" s="79">
        <f>D46+D47+D49+D44+D45</f>
        <v>23939892.609999999</v>
      </c>
    </row>
    <row r="44" spans="1:6" ht="72">
      <c r="A44" s="31" t="s">
        <v>683</v>
      </c>
      <c r="B44" s="31" t="s">
        <v>682</v>
      </c>
      <c r="C44" s="79">
        <v>2498730</v>
      </c>
      <c r="D44" s="79">
        <v>2498730</v>
      </c>
    </row>
    <row r="45" spans="1:6" ht="54">
      <c r="A45" s="31" t="s">
        <v>679</v>
      </c>
      <c r="B45" s="31" t="s">
        <v>678</v>
      </c>
      <c r="C45" s="79">
        <v>628827.65</v>
      </c>
      <c r="D45" s="79">
        <v>686133.22</v>
      </c>
    </row>
    <row r="46" spans="1:6" ht="36">
      <c r="A46" s="31" t="s">
        <v>663</v>
      </c>
      <c r="B46" s="31" t="s">
        <v>661</v>
      </c>
      <c r="C46" s="79">
        <v>4367650</v>
      </c>
      <c r="D46" s="79">
        <v>0</v>
      </c>
    </row>
    <row r="47" spans="1:6" ht="39.75" customHeight="1">
      <c r="A47" s="31" t="s">
        <v>647</v>
      </c>
      <c r="B47" s="33" t="s">
        <v>629</v>
      </c>
      <c r="C47" s="79">
        <v>6583307.1100000003</v>
      </c>
      <c r="D47" s="79">
        <v>7314782.7999999998</v>
      </c>
    </row>
    <row r="48" spans="1:6" ht="91.05" customHeight="1">
      <c r="A48" s="31" t="s">
        <v>938</v>
      </c>
      <c r="B48" s="33" t="s">
        <v>904</v>
      </c>
      <c r="C48" s="79">
        <v>3301263.62</v>
      </c>
      <c r="D48" s="79">
        <v>0</v>
      </c>
    </row>
    <row r="49" spans="1:4">
      <c r="A49" s="31" t="s">
        <v>648</v>
      </c>
      <c r="B49" s="31" t="s">
        <v>630</v>
      </c>
      <c r="C49" s="79">
        <f>'прил 10 '!C16+'прил 10 '!C19+'прил 10 '!C21+3301263.62-3301263.62</f>
        <v>13288679.59</v>
      </c>
      <c r="D49" s="79">
        <f>'прил 10 '!D16+'прил 10 '!D19+'прил 10 '!D21</f>
        <v>13440246.59</v>
      </c>
    </row>
    <row r="50" spans="1:4" ht="36">
      <c r="A50" s="32" t="s">
        <v>287</v>
      </c>
      <c r="B50" s="31" t="s">
        <v>251</v>
      </c>
      <c r="C50" s="79">
        <f>C57+C51+C53+C52+C54+C56+C55+C58+C59</f>
        <v>431044211.16999996</v>
      </c>
      <c r="D50" s="79">
        <f>D57+D51+D53+D52+D54+D56+D55+D58+D59</f>
        <v>452005536.31</v>
      </c>
    </row>
    <row r="51" spans="1:4" ht="54">
      <c r="A51" s="31" t="s">
        <v>649</v>
      </c>
      <c r="B51" s="31" t="s">
        <v>631</v>
      </c>
      <c r="C51" s="79">
        <f>'прил 10 '!C26+'прил 10 '!C27+'прил 10 '!C29+'прил 10 '!C30+'прил 10 '!C32+'прил 10 '!C33+'прил 10 '!C34+'прил 10 '!C35+'прил 10 '!C36+'прил 10 '!C38+'прил 10 '!C40+'прил 10 '!C41</f>
        <v>411574293.16999996</v>
      </c>
      <c r="D51" s="79">
        <f>'прил 10 '!D26+'прил 10 '!D27+'прил 10 '!D29+'прил 10 '!D30+'прил 10 '!D32+'прил 10 '!D33+'прил 10 '!D34+'прил 10 '!D35+'прил 10 '!D36+'прил 10 '!D38+'прил 10 '!D40+'прил 10 '!D41</f>
        <v>432404643.31</v>
      </c>
    </row>
    <row r="52" spans="1:4" ht="94.65" customHeight="1">
      <c r="A52" s="31" t="s">
        <v>650</v>
      </c>
      <c r="B52" s="33" t="s">
        <v>632</v>
      </c>
      <c r="C52" s="79">
        <f>'прил 10 '!C39</f>
        <v>3179069</v>
      </c>
      <c r="D52" s="79">
        <f>'прил 10 '!D39</f>
        <v>3179069</v>
      </c>
    </row>
    <row r="53" spans="1:4" ht="57.75" customHeight="1">
      <c r="A53" s="31" t="s">
        <v>652</v>
      </c>
      <c r="B53" s="33" t="s">
        <v>633</v>
      </c>
      <c r="C53" s="79">
        <f>'прил 10 '!C25</f>
        <v>1442603</v>
      </c>
      <c r="D53" s="79">
        <f>'прил 10 '!D25</f>
        <v>1442603</v>
      </c>
    </row>
    <row r="54" spans="1:4" ht="75.150000000000006" customHeight="1">
      <c r="A54" s="31" t="s">
        <v>653</v>
      </c>
      <c r="B54" s="33" t="s">
        <v>634</v>
      </c>
      <c r="C54" s="79">
        <f>'прил 10 '!C31</f>
        <v>13010</v>
      </c>
      <c r="D54" s="79">
        <f>'прил 10 '!D31</f>
        <v>11564</v>
      </c>
    </row>
    <row r="55" spans="1:4" ht="57.15" hidden="1" customHeight="1">
      <c r="A55" s="31" t="s">
        <v>662</v>
      </c>
      <c r="B55" s="33" t="s">
        <v>635</v>
      </c>
      <c r="C55" s="79">
        <f>'прил 10 '!C37</f>
        <v>0</v>
      </c>
      <c r="D55" s="79">
        <f>'прил 10 '!D37</f>
        <v>0</v>
      </c>
    </row>
    <row r="56" spans="1:4" ht="90">
      <c r="A56" s="31" t="s">
        <v>655</v>
      </c>
      <c r="B56" s="33" t="s">
        <v>636</v>
      </c>
      <c r="C56" s="79">
        <f>'прил 10 '!C28</f>
        <v>10876600</v>
      </c>
      <c r="D56" s="79">
        <f>'прил 10 '!D28</f>
        <v>10876600</v>
      </c>
    </row>
    <row r="57" spans="1:4" ht="54">
      <c r="A57" s="31" t="s">
        <v>657</v>
      </c>
      <c r="B57" s="31" t="s">
        <v>638</v>
      </c>
      <c r="C57" s="79">
        <f>'прил 10 '!C23</f>
        <v>1430240</v>
      </c>
      <c r="D57" s="79">
        <f>'прил 10 '!D23</f>
        <v>1480720</v>
      </c>
    </row>
    <row r="58" spans="1:4" ht="36">
      <c r="A58" s="31" t="s">
        <v>658</v>
      </c>
      <c r="B58" s="31" t="s">
        <v>639</v>
      </c>
      <c r="C58" s="79">
        <f>'прил 10 '!C42</f>
        <v>2174817</v>
      </c>
      <c r="D58" s="79">
        <f>'прил 10 '!D42</f>
        <v>2256758</v>
      </c>
    </row>
    <row r="59" spans="1:4">
      <c r="A59" s="31" t="s">
        <v>744</v>
      </c>
      <c r="B59" s="31" t="s">
        <v>745</v>
      </c>
      <c r="C59" s="79">
        <f>'прил 10 '!C24</f>
        <v>353579</v>
      </c>
      <c r="D59" s="79">
        <f>'прил 10 '!D24</f>
        <v>353579</v>
      </c>
    </row>
    <row r="60" spans="1:4">
      <c r="A60" s="31" t="s">
        <v>564</v>
      </c>
      <c r="B60" s="31" t="s">
        <v>565</v>
      </c>
      <c r="C60" s="79">
        <f>C61</f>
        <v>20475000</v>
      </c>
      <c r="D60" s="79">
        <f>D61</f>
        <v>23400000</v>
      </c>
    </row>
    <row r="61" spans="1:4" ht="90">
      <c r="A61" s="31" t="s">
        <v>659</v>
      </c>
      <c r="B61" s="31" t="s">
        <v>640</v>
      </c>
      <c r="C61" s="79">
        <f>'прил 10 '!C43</f>
        <v>20475000</v>
      </c>
      <c r="D61" s="79">
        <f>'прил 10 '!D43</f>
        <v>23400000</v>
      </c>
    </row>
    <row r="62" spans="1:4" ht="17.399999999999999">
      <c r="A62" s="34"/>
      <c r="B62" s="35" t="s">
        <v>125</v>
      </c>
      <c r="C62" s="89">
        <f>C13+C41</f>
        <v>909005669.13999999</v>
      </c>
      <c r="D62" s="88">
        <f>D13+D41</f>
        <v>938748428.92000008</v>
      </c>
    </row>
    <row r="63" spans="1:4">
      <c r="A63" s="36"/>
      <c r="B63" s="37"/>
      <c r="C63" s="112"/>
    </row>
    <row r="64" spans="1:4">
      <c r="A64" s="36"/>
      <c r="B64" s="37"/>
      <c r="C64" s="112"/>
    </row>
    <row r="66" spans="3:4">
      <c r="C66" s="14">
        <f>C41/C62*100</f>
        <v>53.045617371802791</v>
      </c>
      <c r="D66" s="14">
        <f>D41/D62*100</f>
        <v>53.192677988764345</v>
      </c>
    </row>
  </sheetData>
  <mergeCells count="5">
    <mergeCell ref="A9:D9"/>
    <mergeCell ref="A10:D10"/>
    <mergeCell ref="C2:D2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C49"/>
  <sheetViews>
    <sheetView view="pageBreakPreview" topLeftCell="A40" zoomScale="75" zoomScaleNormal="100" zoomScaleSheetLayoutView="75" workbookViewId="0">
      <selection activeCell="B1" sqref="B1:C1"/>
    </sheetView>
  </sheetViews>
  <sheetFormatPr defaultRowHeight="18"/>
  <cols>
    <col min="1" max="1" width="5.44140625" style="113" customWidth="1"/>
    <col min="2" max="2" width="133.6640625" style="113" customWidth="1"/>
    <col min="3" max="3" width="19.44140625" style="140" customWidth="1"/>
  </cols>
  <sheetData>
    <row r="1" spans="1:3">
      <c r="B1" s="350" t="s">
        <v>951</v>
      </c>
      <c r="C1" s="356"/>
    </row>
    <row r="2" spans="1:3">
      <c r="B2" s="350" t="s">
        <v>930</v>
      </c>
      <c r="C2" s="350"/>
    </row>
    <row r="3" spans="1:3">
      <c r="B3" s="350" t="s">
        <v>940</v>
      </c>
      <c r="C3" s="350"/>
    </row>
    <row r="4" spans="1:3">
      <c r="B4" s="350" t="s">
        <v>945</v>
      </c>
      <c r="C4" s="350"/>
    </row>
    <row r="5" spans="1:3">
      <c r="C5" s="73" t="s">
        <v>932</v>
      </c>
    </row>
    <row r="6" spans="1:3">
      <c r="C6" s="73" t="s">
        <v>546</v>
      </c>
    </row>
    <row r="7" spans="1:3">
      <c r="A7" s="357" t="s">
        <v>241</v>
      </c>
      <c r="B7" s="357"/>
      <c r="C7" s="344" t="s">
        <v>946</v>
      </c>
    </row>
    <row r="8" spans="1:3" ht="15.75" customHeight="1">
      <c r="A8" s="358" t="s">
        <v>783</v>
      </c>
      <c r="B8" s="358"/>
    </row>
    <row r="9" spans="1:3">
      <c r="A9" s="114"/>
      <c r="B9" s="114"/>
      <c r="C9" s="65" t="s">
        <v>408</v>
      </c>
    </row>
    <row r="10" spans="1:3" ht="34.799999999999997">
      <c r="A10" s="115" t="s">
        <v>274</v>
      </c>
      <c r="B10" s="116" t="s">
        <v>435</v>
      </c>
      <c r="C10" s="24" t="s">
        <v>239</v>
      </c>
    </row>
    <row r="11" spans="1:3" ht="0.75" customHeight="1">
      <c r="A11" s="23">
        <v>1</v>
      </c>
      <c r="B11" s="168" t="s">
        <v>732</v>
      </c>
      <c r="C11" s="122">
        <v>0</v>
      </c>
    </row>
    <row r="12" spans="1:3">
      <c r="A12" s="23">
        <v>1</v>
      </c>
      <c r="B12" s="185" t="s">
        <v>719</v>
      </c>
      <c r="C12" s="186">
        <v>40328000</v>
      </c>
    </row>
    <row r="13" spans="1:3" ht="38.25" hidden="1" customHeight="1">
      <c r="A13" s="23">
        <v>3</v>
      </c>
      <c r="B13" s="187" t="s">
        <v>443</v>
      </c>
      <c r="C13" s="86">
        <v>0</v>
      </c>
    </row>
    <row r="14" spans="1:3" ht="36" hidden="1">
      <c r="A14" s="23">
        <v>4</v>
      </c>
      <c r="B14" s="187" t="s">
        <v>461</v>
      </c>
      <c r="C14" s="86">
        <v>0</v>
      </c>
    </row>
    <row r="15" spans="1:3" ht="38.25" hidden="1" customHeight="1">
      <c r="A15" s="23">
        <v>2</v>
      </c>
      <c r="B15" s="187" t="s">
        <v>566</v>
      </c>
      <c r="C15" s="86">
        <v>0</v>
      </c>
    </row>
    <row r="16" spans="1:3" ht="38.25" customHeight="1">
      <c r="A16" s="23">
        <v>2</v>
      </c>
      <c r="B16" s="187" t="s">
        <v>809</v>
      </c>
      <c r="C16" s="86">
        <f>703249+0.99</f>
        <v>703249.99</v>
      </c>
    </row>
    <row r="17" spans="1:3" ht="36.75" customHeight="1">
      <c r="A17" s="23">
        <v>3</v>
      </c>
      <c r="B17" s="187" t="s">
        <v>568</v>
      </c>
      <c r="C17" s="86">
        <v>36003230.039999999</v>
      </c>
    </row>
    <row r="18" spans="1:3" ht="39.75" hidden="1" customHeight="1">
      <c r="A18" s="23">
        <v>5</v>
      </c>
      <c r="B18" s="187" t="s">
        <v>393</v>
      </c>
      <c r="C18" s="86">
        <v>0</v>
      </c>
    </row>
    <row r="19" spans="1:3" ht="18.75" customHeight="1">
      <c r="A19" s="23">
        <v>4</v>
      </c>
      <c r="B19" s="187" t="s">
        <v>569</v>
      </c>
      <c r="C19" s="86">
        <v>7160868.7599999998</v>
      </c>
    </row>
    <row r="20" spans="1:3" ht="36">
      <c r="A20" s="23">
        <v>5</v>
      </c>
      <c r="B20" s="187" t="s">
        <v>570</v>
      </c>
      <c r="C20" s="86">
        <v>568859.04</v>
      </c>
    </row>
    <row r="21" spans="1:3" ht="40.65" hidden="1" customHeight="1">
      <c r="A21" s="23">
        <v>13</v>
      </c>
      <c r="B21" s="187" t="s">
        <v>571</v>
      </c>
      <c r="C21" s="86">
        <v>0</v>
      </c>
    </row>
    <row r="22" spans="1:3" ht="36">
      <c r="A22" s="23">
        <v>6</v>
      </c>
      <c r="B22" s="187" t="s">
        <v>572</v>
      </c>
      <c r="C22" s="86">
        <v>6583307.1100000003</v>
      </c>
    </row>
    <row r="23" spans="1:3" ht="36" hidden="1">
      <c r="A23" s="329">
        <v>7</v>
      </c>
      <c r="B23" s="330" t="s">
        <v>461</v>
      </c>
      <c r="C23" s="331">
        <f>6142440.01-6142440.01</f>
        <v>0</v>
      </c>
    </row>
    <row r="24" spans="1:3" ht="60.75" customHeight="1">
      <c r="A24" s="23">
        <v>8</v>
      </c>
      <c r="B24" s="187" t="s">
        <v>904</v>
      </c>
      <c r="C24" s="86">
        <v>2430452.42</v>
      </c>
    </row>
    <row r="25" spans="1:3" ht="36.75" customHeight="1">
      <c r="A25" s="23">
        <v>9</v>
      </c>
      <c r="B25" s="187" t="s">
        <v>573</v>
      </c>
      <c r="C25" s="86">
        <v>6855579.5599999996</v>
      </c>
    </row>
    <row r="26" spans="1:3" ht="0.75" hidden="1" customHeight="1">
      <c r="A26" s="23">
        <v>12</v>
      </c>
      <c r="B26" s="187" t="s">
        <v>720</v>
      </c>
      <c r="C26" s="86">
        <v>0</v>
      </c>
    </row>
    <row r="27" spans="1:3" hidden="1">
      <c r="A27" s="23">
        <v>13</v>
      </c>
      <c r="B27" s="187" t="s">
        <v>574</v>
      </c>
      <c r="C27" s="86">
        <v>0</v>
      </c>
    </row>
    <row r="28" spans="1:3" ht="36">
      <c r="A28" s="23">
        <v>10</v>
      </c>
      <c r="B28" s="187" t="s">
        <v>576</v>
      </c>
      <c r="C28" s="188">
        <v>1442603</v>
      </c>
    </row>
    <row r="29" spans="1:3" ht="36">
      <c r="A29" s="23">
        <v>11</v>
      </c>
      <c r="B29" s="187" t="s">
        <v>776</v>
      </c>
      <c r="C29" s="188">
        <v>353579</v>
      </c>
    </row>
    <row r="30" spans="1:3" ht="38.25" customHeight="1">
      <c r="A30" s="23">
        <v>12</v>
      </c>
      <c r="B30" s="187" t="s">
        <v>575</v>
      </c>
      <c r="C30" s="188">
        <v>1383656</v>
      </c>
    </row>
    <row r="31" spans="1:3" ht="61.5" customHeight="1">
      <c r="A31" s="23">
        <v>13</v>
      </c>
      <c r="B31" s="187" t="s">
        <v>577</v>
      </c>
      <c r="C31" s="188">
        <v>238943015.19999999</v>
      </c>
    </row>
    <row r="32" spans="1:3" ht="36">
      <c r="A32" s="23">
        <v>14</v>
      </c>
      <c r="B32" s="187" t="s">
        <v>578</v>
      </c>
      <c r="C32" s="188">
        <v>830909</v>
      </c>
    </row>
    <row r="33" spans="1:3" ht="72">
      <c r="A33" s="23">
        <v>15</v>
      </c>
      <c r="B33" s="187" t="s">
        <v>471</v>
      </c>
      <c r="C33" s="188">
        <v>10876600</v>
      </c>
    </row>
    <row r="34" spans="1:3" ht="39.15" customHeight="1">
      <c r="A34" s="23">
        <v>16</v>
      </c>
      <c r="B34" s="187" t="s">
        <v>579</v>
      </c>
      <c r="C34" s="188">
        <v>81227204</v>
      </c>
    </row>
    <row r="35" spans="1:3" ht="36">
      <c r="A35" s="23">
        <v>17</v>
      </c>
      <c r="B35" s="187" t="s">
        <v>580</v>
      </c>
      <c r="C35" s="188">
        <v>1847300</v>
      </c>
    </row>
    <row r="36" spans="1:3" ht="57.75" customHeight="1">
      <c r="A36" s="23">
        <v>18</v>
      </c>
      <c r="B36" s="187" t="s">
        <v>383</v>
      </c>
      <c r="C36" s="188">
        <v>324127.09000000003</v>
      </c>
    </row>
    <row r="37" spans="1:3" ht="56.25" customHeight="1">
      <c r="A37" s="23">
        <v>19</v>
      </c>
      <c r="B37" s="187" t="s">
        <v>581</v>
      </c>
      <c r="C37" s="188">
        <v>219244</v>
      </c>
    </row>
    <row r="38" spans="1:3" ht="54">
      <c r="A38" s="23">
        <v>20</v>
      </c>
      <c r="B38" s="187" t="s">
        <v>405</v>
      </c>
      <c r="C38" s="188">
        <v>1310000</v>
      </c>
    </row>
    <row r="39" spans="1:3" ht="76.650000000000006" customHeight="1">
      <c r="A39" s="23">
        <v>21</v>
      </c>
      <c r="B39" s="187" t="s">
        <v>582</v>
      </c>
      <c r="C39" s="188">
        <v>3387.08</v>
      </c>
    </row>
    <row r="40" spans="1:3" ht="38.25" customHeight="1">
      <c r="A40" s="23">
        <v>22</v>
      </c>
      <c r="B40" s="187" t="s">
        <v>406</v>
      </c>
      <c r="C40" s="188">
        <v>1950219</v>
      </c>
    </row>
    <row r="41" spans="1:3" ht="54">
      <c r="A41" s="23">
        <v>23</v>
      </c>
      <c r="B41" s="187" t="s">
        <v>431</v>
      </c>
      <c r="C41" s="188">
        <v>21927344.399999999</v>
      </c>
    </row>
    <row r="42" spans="1:3" ht="39.75" hidden="1" customHeight="1">
      <c r="A42" s="329">
        <v>24</v>
      </c>
      <c r="B42" s="330" t="s">
        <v>583</v>
      </c>
      <c r="C42" s="332">
        <f>1035455.64-1035455.64</f>
        <v>0</v>
      </c>
    </row>
    <row r="43" spans="1:3" ht="57.75" customHeight="1">
      <c r="A43" s="23">
        <v>25</v>
      </c>
      <c r="B43" s="187" t="s">
        <v>666</v>
      </c>
      <c r="C43" s="188">
        <v>6117450</v>
      </c>
    </row>
    <row r="44" spans="1:3" ht="57.75" customHeight="1">
      <c r="A44" s="23">
        <v>26</v>
      </c>
      <c r="B44" s="187" t="s">
        <v>774</v>
      </c>
      <c r="C44" s="188">
        <v>16214571.039999999</v>
      </c>
    </row>
    <row r="45" spans="1:3" ht="57.15" customHeight="1">
      <c r="A45" s="23">
        <v>27</v>
      </c>
      <c r="B45" s="187" t="s">
        <v>667</v>
      </c>
      <c r="C45" s="188">
        <v>10901621.619999999</v>
      </c>
    </row>
    <row r="46" spans="1:3" ht="74.25" customHeight="1">
      <c r="A46" s="23">
        <v>28</v>
      </c>
      <c r="B46" s="187" t="s">
        <v>668</v>
      </c>
      <c r="C46" s="188">
        <v>3179069</v>
      </c>
    </row>
    <row r="47" spans="1:3" ht="22.65" customHeight="1">
      <c r="A47" s="23">
        <v>29</v>
      </c>
      <c r="B47" s="187" t="s">
        <v>584</v>
      </c>
      <c r="C47" s="188">
        <v>2096028</v>
      </c>
    </row>
    <row r="48" spans="1:3" ht="57.75" customHeight="1">
      <c r="A48" s="23">
        <v>30</v>
      </c>
      <c r="B48" s="187" t="s">
        <v>585</v>
      </c>
      <c r="C48" s="188">
        <v>20475000</v>
      </c>
    </row>
    <row r="49" spans="1:3">
      <c r="A49" s="117"/>
      <c r="B49" s="118" t="s">
        <v>125</v>
      </c>
      <c r="C49" s="88">
        <f>SUM(C11:C48)</f>
        <v>522256474.34999996</v>
      </c>
    </row>
  </sheetData>
  <mergeCells count="6">
    <mergeCell ref="B1:C1"/>
    <mergeCell ref="A7:B7"/>
    <mergeCell ref="A8:B8"/>
    <mergeCell ref="B2:C2"/>
    <mergeCell ref="B3:C3"/>
    <mergeCell ref="B4:C4"/>
  </mergeCells>
  <pageMargins left="0.78740157480314965" right="0.39370078740157483" top="0.35433070866141736" bottom="0.15748031496062992" header="0.31496062992125984" footer="0.31496062992125984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44"/>
  <sheetViews>
    <sheetView view="pageBreakPreview" topLeftCell="A31" zoomScale="75" zoomScaleNormal="100" zoomScaleSheetLayoutView="75" workbookViewId="0">
      <selection activeCell="C1" sqref="C1:D1"/>
    </sheetView>
  </sheetViews>
  <sheetFormatPr defaultRowHeight="18"/>
  <cols>
    <col min="1" max="1" width="5.44140625" style="113" customWidth="1"/>
    <col min="2" max="2" width="116.44140625" style="113" customWidth="1"/>
    <col min="3" max="3" width="18" style="113" customWidth="1"/>
    <col min="4" max="4" width="18" style="121" customWidth="1"/>
  </cols>
  <sheetData>
    <row r="1" spans="1:4" ht="19.05" customHeight="1">
      <c r="C1" s="350" t="s">
        <v>952</v>
      </c>
      <c r="D1" s="350"/>
    </row>
    <row r="2" spans="1:4">
      <c r="B2" s="350" t="s">
        <v>933</v>
      </c>
      <c r="C2" s="350"/>
      <c r="D2" s="350"/>
    </row>
    <row r="3" spans="1:4">
      <c r="C3" s="350" t="s">
        <v>940</v>
      </c>
      <c r="D3" s="350"/>
    </row>
    <row r="4" spans="1:4">
      <c r="C4" s="350" t="s">
        <v>944</v>
      </c>
      <c r="D4" s="350"/>
    </row>
    <row r="5" spans="1:4">
      <c r="D5" s="73" t="s">
        <v>436</v>
      </c>
    </row>
    <row r="6" spans="1:4">
      <c r="D6" s="73" t="s">
        <v>933</v>
      </c>
    </row>
    <row r="7" spans="1:4">
      <c r="D7" s="73" t="s">
        <v>664</v>
      </c>
    </row>
    <row r="8" spans="1:4">
      <c r="C8" s="350" t="s">
        <v>937</v>
      </c>
      <c r="D8" s="361"/>
    </row>
    <row r="9" spans="1:4">
      <c r="D9" s="73"/>
    </row>
    <row r="10" spans="1:4">
      <c r="D10" s="73"/>
    </row>
    <row r="11" spans="1:4" ht="17.399999999999999">
      <c r="A11" s="359" t="s">
        <v>241</v>
      </c>
      <c r="B11" s="359"/>
      <c r="C11" s="359"/>
      <c r="D11" s="359"/>
    </row>
    <row r="12" spans="1:4">
      <c r="A12" s="360" t="s">
        <v>785</v>
      </c>
      <c r="B12" s="360"/>
      <c r="C12" s="360"/>
      <c r="D12" s="360"/>
    </row>
    <row r="13" spans="1:4">
      <c r="A13" s="119"/>
      <c r="B13" s="119"/>
      <c r="D13" s="65" t="s">
        <v>408</v>
      </c>
    </row>
    <row r="14" spans="1:4" ht="36">
      <c r="A14" s="115" t="s">
        <v>274</v>
      </c>
      <c r="B14" s="24" t="s">
        <v>437</v>
      </c>
      <c r="C14" s="24" t="s">
        <v>473</v>
      </c>
      <c r="D14" s="24" t="s">
        <v>761</v>
      </c>
    </row>
    <row r="15" spans="1:4" ht="54">
      <c r="A15" s="120">
        <v>1</v>
      </c>
      <c r="B15" s="187" t="s">
        <v>566</v>
      </c>
      <c r="C15" s="188">
        <v>2498730</v>
      </c>
      <c r="D15" s="188">
        <v>2498730</v>
      </c>
    </row>
    <row r="16" spans="1:4" ht="54">
      <c r="A16" s="120">
        <v>2</v>
      </c>
      <c r="B16" s="187" t="s">
        <v>393</v>
      </c>
      <c r="C16" s="188">
        <v>168005</v>
      </c>
      <c r="D16" s="188">
        <v>168005</v>
      </c>
    </row>
    <row r="17" spans="1:4" ht="54">
      <c r="A17" s="120">
        <v>3</v>
      </c>
      <c r="B17" s="187" t="s">
        <v>586</v>
      </c>
      <c r="C17" s="188">
        <v>4367650</v>
      </c>
      <c r="D17" s="188">
        <v>0</v>
      </c>
    </row>
    <row r="18" spans="1:4" ht="36">
      <c r="A18" s="120">
        <v>4</v>
      </c>
      <c r="B18" s="187" t="s">
        <v>570</v>
      </c>
      <c r="C18" s="188">
        <v>628827.65</v>
      </c>
      <c r="D18" s="188">
        <v>686133.22</v>
      </c>
    </row>
    <row r="19" spans="1:4" ht="44.4" customHeight="1">
      <c r="A19" s="120">
        <v>5</v>
      </c>
      <c r="B19" s="187" t="s">
        <v>792</v>
      </c>
      <c r="C19" s="188">
        <v>163718</v>
      </c>
      <c r="D19" s="188">
        <v>315285</v>
      </c>
    </row>
    <row r="20" spans="1:4" ht="36">
      <c r="A20" s="120">
        <v>6</v>
      </c>
      <c r="B20" s="187" t="s">
        <v>572</v>
      </c>
      <c r="C20" s="188">
        <v>6583307.1100000003</v>
      </c>
      <c r="D20" s="188">
        <v>7314782.7999999998</v>
      </c>
    </row>
    <row r="21" spans="1:4" ht="39.75" customHeight="1">
      <c r="A21" s="120">
        <v>7</v>
      </c>
      <c r="B21" s="187" t="s">
        <v>573</v>
      </c>
      <c r="C21" s="188">
        <v>12956956.59</v>
      </c>
      <c r="D21" s="188">
        <v>12956956.59</v>
      </c>
    </row>
    <row r="22" spans="1:4" ht="58.65" customHeight="1">
      <c r="A22" s="120">
        <v>8</v>
      </c>
      <c r="B22" s="187" t="s">
        <v>904</v>
      </c>
      <c r="C22" s="188">
        <v>3301263.62</v>
      </c>
      <c r="D22" s="188">
        <v>0</v>
      </c>
    </row>
    <row r="23" spans="1:4" ht="39.15" customHeight="1">
      <c r="A23" s="120">
        <v>9</v>
      </c>
      <c r="B23" s="187" t="s">
        <v>576</v>
      </c>
      <c r="C23" s="188">
        <v>1430240</v>
      </c>
      <c r="D23" s="188">
        <v>1480720</v>
      </c>
    </row>
    <row r="24" spans="1:4" ht="39.15" customHeight="1">
      <c r="A24" s="120">
        <v>10</v>
      </c>
      <c r="B24" s="187" t="s">
        <v>777</v>
      </c>
      <c r="C24" s="188">
        <v>353579</v>
      </c>
      <c r="D24" s="188">
        <v>353579</v>
      </c>
    </row>
    <row r="25" spans="1:4" ht="57.15" customHeight="1">
      <c r="A25" s="120">
        <v>11</v>
      </c>
      <c r="B25" s="187" t="s">
        <v>587</v>
      </c>
      <c r="C25" s="188">
        <v>1442603</v>
      </c>
      <c r="D25" s="188">
        <v>1442603</v>
      </c>
    </row>
    <row r="26" spans="1:4" ht="57.15" customHeight="1">
      <c r="A26" s="120">
        <v>12</v>
      </c>
      <c r="B26" s="187" t="s">
        <v>577</v>
      </c>
      <c r="C26" s="188">
        <v>253254890</v>
      </c>
      <c r="D26" s="188">
        <v>268349626</v>
      </c>
    </row>
    <row r="27" spans="1:4" ht="36">
      <c r="A27" s="120">
        <v>13</v>
      </c>
      <c r="B27" s="187" t="s">
        <v>578</v>
      </c>
      <c r="C27" s="188">
        <v>861546</v>
      </c>
      <c r="D27" s="188">
        <v>893408</v>
      </c>
    </row>
    <row r="28" spans="1:4" ht="57.15" customHeight="1">
      <c r="A28" s="120">
        <v>14</v>
      </c>
      <c r="B28" s="187" t="s">
        <v>471</v>
      </c>
      <c r="C28" s="188">
        <v>10876600</v>
      </c>
      <c r="D28" s="188">
        <v>10876600</v>
      </c>
    </row>
    <row r="29" spans="1:4" ht="57.75" customHeight="1">
      <c r="A29" s="120">
        <v>15</v>
      </c>
      <c r="B29" s="187" t="s">
        <v>588</v>
      </c>
      <c r="C29" s="188">
        <v>85923430</v>
      </c>
      <c r="D29" s="188">
        <v>90848135</v>
      </c>
    </row>
    <row r="30" spans="1:4" ht="55.5" customHeight="1">
      <c r="A30" s="120">
        <v>16</v>
      </c>
      <c r="B30" s="187" t="s">
        <v>383</v>
      </c>
      <c r="C30" s="188">
        <v>324127.09000000003</v>
      </c>
      <c r="D30" s="188">
        <v>324127.09000000003</v>
      </c>
    </row>
    <row r="31" spans="1:4" ht="57.15" customHeight="1">
      <c r="A31" s="120">
        <v>17</v>
      </c>
      <c r="B31" s="189" t="s">
        <v>589</v>
      </c>
      <c r="C31" s="188">
        <v>13010</v>
      </c>
      <c r="D31" s="188">
        <v>11564</v>
      </c>
    </row>
    <row r="32" spans="1:4" ht="57.15" customHeight="1">
      <c r="A32" s="120">
        <v>18</v>
      </c>
      <c r="B32" s="189" t="s">
        <v>405</v>
      </c>
      <c r="C32" s="188">
        <v>1310000</v>
      </c>
      <c r="D32" s="188">
        <v>1310000</v>
      </c>
    </row>
    <row r="33" spans="1:7" ht="57.15" customHeight="1">
      <c r="A33" s="120">
        <v>19</v>
      </c>
      <c r="B33" s="187" t="s">
        <v>580</v>
      </c>
      <c r="C33" s="188">
        <v>1847300</v>
      </c>
      <c r="D33" s="188">
        <v>1847300</v>
      </c>
    </row>
    <row r="34" spans="1:7" ht="77.25" customHeight="1">
      <c r="A34" s="120">
        <v>20</v>
      </c>
      <c r="B34" s="189" t="s">
        <v>582</v>
      </c>
      <c r="C34" s="188">
        <v>3387.08</v>
      </c>
      <c r="D34" s="188">
        <v>3387.08</v>
      </c>
    </row>
    <row r="35" spans="1:7" ht="38.25" customHeight="1">
      <c r="A35" s="120">
        <v>21</v>
      </c>
      <c r="B35" s="189" t="s">
        <v>406</v>
      </c>
      <c r="C35" s="188">
        <v>2021924</v>
      </c>
      <c r="D35" s="188">
        <v>2096497</v>
      </c>
    </row>
    <row r="36" spans="1:7" ht="70.5" customHeight="1">
      <c r="A36" s="120">
        <v>22</v>
      </c>
      <c r="B36" s="189" t="s">
        <v>431</v>
      </c>
      <c r="C36" s="188">
        <v>22604954.34</v>
      </c>
      <c r="D36" s="188">
        <v>23309428.48</v>
      </c>
    </row>
    <row r="37" spans="1:7" ht="2.1" customHeight="1">
      <c r="A37" s="120">
        <v>23</v>
      </c>
      <c r="B37" s="189" t="s">
        <v>583</v>
      </c>
      <c r="C37" s="188">
        <f>1325680.27-1325680.27</f>
        <v>0</v>
      </c>
      <c r="D37" s="188">
        <f>1378706.84-1378706.84</f>
        <v>0</v>
      </c>
    </row>
    <row r="38" spans="1:7" ht="56.25" customHeight="1">
      <c r="A38" s="120">
        <v>24</v>
      </c>
      <c r="B38" s="187" t="s">
        <v>666</v>
      </c>
      <c r="C38" s="188">
        <v>6188850</v>
      </c>
      <c r="D38" s="188">
        <v>6188850</v>
      </c>
    </row>
    <row r="39" spans="1:7" ht="79.5" customHeight="1">
      <c r="A39" s="120">
        <v>25</v>
      </c>
      <c r="B39" s="187" t="s">
        <v>668</v>
      </c>
      <c r="C39" s="188">
        <v>3179069</v>
      </c>
      <c r="D39" s="188">
        <v>3179069</v>
      </c>
    </row>
    <row r="40" spans="1:7" ht="79.5" customHeight="1">
      <c r="A40" s="120">
        <v>26</v>
      </c>
      <c r="B40" s="187" t="s">
        <v>773</v>
      </c>
      <c r="C40" s="188">
        <v>16214571.039999999</v>
      </c>
      <c r="D40" s="188">
        <v>16214571.039999999</v>
      </c>
    </row>
    <row r="41" spans="1:7" ht="57.15" customHeight="1">
      <c r="A41" s="120">
        <v>27</v>
      </c>
      <c r="B41" s="187" t="s">
        <v>667</v>
      </c>
      <c r="C41" s="188">
        <v>21019313.620000001</v>
      </c>
      <c r="D41" s="188">
        <v>21019313.620000001</v>
      </c>
      <c r="G41" t="s">
        <v>51</v>
      </c>
    </row>
    <row r="42" spans="1:7" ht="21.75" customHeight="1">
      <c r="A42" s="120">
        <v>28</v>
      </c>
      <c r="B42" s="190" t="s">
        <v>584</v>
      </c>
      <c r="C42" s="188">
        <v>2174817</v>
      </c>
      <c r="D42" s="188">
        <v>2256758</v>
      </c>
    </row>
    <row r="43" spans="1:7" ht="59.25" customHeight="1">
      <c r="A43" s="120">
        <v>29</v>
      </c>
      <c r="B43" s="189" t="s">
        <v>585</v>
      </c>
      <c r="C43" s="188">
        <v>20475000</v>
      </c>
      <c r="D43" s="188">
        <f>20475000+2925000</f>
        <v>23400000</v>
      </c>
    </row>
    <row r="44" spans="1:7">
      <c r="A44" s="120"/>
      <c r="B44" s="120" t="s">
        <v>125</v>
      </c>
      <c r="C44" s="88">
        <f>SUM(C15:C43)</f>
        <v>482187669.13999999</v>
      </c>
      <c r="D44" s="88">
        <f>SUM(D15:D43)</f>
        <v>499345428.92000002</v>
      </c>
    </row>
  </sheetData>
  <mergeCells count="7">
    <mergeCell ref="C1:D1"/>
    <mergeCell ref="B2:D2"/>
    <mergeCell ref="A11:D11"/>
    <mergeCell ref="A12:D12"/>
    <mergeCell ref="C3:D3"/>
    <mergeCell ref="C4:D4"/>
    <mergeCell ref="C8:D8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729"/>
  <sheetViews>
    <sheetView view="pageBreakPreview" zoomScale="75" zoomScaleNormal="100" zoomScaleSheetLayoutView="75" workbookViewId="0">
      <selection activeCell="D1" sqref="D1:F1"/>
    </sheetView>
  </sheetViews>
  <sheetFormatPr defaultRowHeight="18" outlineLevelRow="7"/>
  <cols>
    <col min="1" max="1" width="78.44140625" style="256" customWidth="1"/>
    <col min="2" max="2" width="6.33203125" style="14" customWidth="1"/>
    <col min="3" max="3" width="6.6640625" style="14" customWidth="1"/>
    <col min="4" max="4" width="15.88671875" style="14" customWidth="1"/>
    <col min="5" max="5" width="6.88671875" style="14" customWidth="1"/>
    <col min="6" max="6" width="19.109375" style="275" customWidth="1"/>
    <col min="7" max="7" width="17.44140625" style="257" customWidth="1"/>
    <col min="8" max="8" width="9.109375" style="257"/>
    <col min="9" max="238" width="9.109375" style="7"/>
    <col min="239" max="239" width="75.88671875" style="7" customWidth="1"/>
    <col min="240" max="241" width="7.6640625" style="7" customWidth="1"/>
    <col min="242" max="242" width="9.6640625" style="7" customWidth="1"/>
    <col min="243" max="243" width="7.6640625" style="7" customWidth="1"/>
    <col min="244" max="247" width="0" style="7" hidden="1" customWidth="1"/>
    <col min="248" max="248" width="14.33203125" style="7" customWidth="1"/>
    <col min="249" max="254" width="0" style="7" hidden="1" customWidth="1"/>
    <col min="255" max="255" width="10.109375" style="7" bestFit="1" customWidth="1"/>
    <col min="256" max="494" width="9.109375" style="7"/>
    <col min="495" max="495" width="75.88671875" style="7" customWidth="1"/>
    <col min="496" max="497" width="7.6640625" style="7" customWidth="1"/>
    <col min="498" max="498" width="9.6640625" style="7" customWidth="1"/>
    <col min="499" max="499" width="7.6640625" style="7" customWidth="1"/>
    <col min="500" max="503" width="0" style="7" hidden="1" customWidth="1"/>
    <col min="504" max="504" width="14.33203125" style="7" customWidth="1"/>
    <col min="505" max="510" width="0" style="7" hidden="1" customWidth="1"/>
    <col min="511" max="511" width="10.109375" style="7" bestFit="1" customWidth="1"/>
    <col min="512" max="750" width="9.109375" style="7"/>
    <col min="751" max="751" width="75.88671875" style="7" customWidth="1"/>
    <col min="752" max="753" width="7.6640625" style="7" customWidth="1"/>
    <col min="754" max="754" width="9.6640625" style="7" customWidth="1"/>
    <col min="755" max="755" width="7.6640625" style="7" customWidth="1"/>
    <col min="756" max="759" width="0" style="7" hidden="1" customWidth="1"/>
    <col min="760" max="760" width="14.33203125" style="7" customWidth="1"/>
    <col min="761" max="766" width="0" style="7" hidden="1" customWidth="1"/>
    <col min="767" max="767" width="10.109375" style="7" bestFit="1" customWidth="1"/>
    <col min="768" max="1006" width="9.109375" style="7"/>
    <col min="1007" max="1007" width="75.88671875" style="7" customWidth="1"/>
    <col min="1008" max="1009" width="7.6640625" style="7" customWidth="1"/>
    <col min="1010" max="1010" width="9.6640625" style="7" customWidth="1"/>
    <col min="1011" max="1011" width="7.6640625" style="7" customWidth="1"/>
    <col min="1012" max="1015" width="0" style="7" hidden="1" customWidth="1"/>
    <col min="1016" max="1016" width="14.33203125" style="7" customWidth="1"/>
    <col min="1017" max="1022" width="0" style="7" hidden="1" customWidth="1"/>
    <col min="1023" max="1023" width="10.109375" style="7" bestFit="1" customWidth="1"/>
    <col min="1024" max="1262" width="9.109375" style="7"/>
    <col min="1263" max="1263" width="75.88671875" style="7" customWidth="1"/>
    <col min="1264" max="1265" width="7.6640625" style="7" customWidth="1"/>
    <col min="1266" max="1266" width="9.6640625" style="7" customWidth="1"/>
    <col min="1267" max="1267" width="7.6640625" style="7" customWidth="1"/>
    <col min="1268" max="1271" width="0" style="7" hidden="1" customWidth="1"/>
    <col min="1272" max="1272" width="14.33203125" style="7" customWidth="1"/>
    <col min="1273" max="1278" width="0" style="7" hidden="1" customWidth="1"/>
    <col min="1279" max="1279" width="10.109375" style="7" bestFit="1" customWidth="1"/>
    <col min="1280" max="1518" width="9.109375" style="7"/>
    <col min="1519" max="1519" width="75.88671875" style="7" customWidth="1"/>
    <col min="1520" max="1521" width="7.6640625" style="7" customWidth="1"/>
    <col min="1522" max="1522" width="9.6640625" style="7" customWidth="1"/>
    <col min="1523" max="1523" width="7.6640625" style="7" customWidth="1"/>
    <col min="1524" max="1527" width="0" style="7" hidden="1" customWidth="1"/>
    <col min="1528" max="1528" width="14.33203125" style="7" customWidth="1"/>
    <col min="1529" max="1534" width="0" style="7" hidden="1" customWidth="1"/>
    <col min="1535" max="1535" width="10.109375" style="7" bestFit="1" customWidth="1"/>
    <col min="1536" max="1774" width="9.109375" style="7"/>
    <col min="1775" max="1775" width="75.88671875" style="7" customWidth="1"/>
    <col min="1776" max="1777" width="7.6640625" style="7" customWidth="1"/>
    <col min="1778" max="1778" width="9.6640625" style="7" customWidth="1"/>
    <col min="1779" max="1779" width="7.6640625" style="7" customWidth="1"/>
    <col min="1780" max="1783" width="0" style="7" hidden="1" customWidth="1"/>
    <col min="1784" max="1784" width="14.33203125" style="7" customWidth="1"/>
    <col min="1785" max="1790" width="0" style="7" hidden="1" customWidth="1"/>
    <col min="1791" max="1791" width="10.109375" style="7" bestFit="1" customWidth="1"/>
    <col min="1792" max="2030" width="9.109375" style="7"/>
    <col min="2031" max="2031" width="75.88671875" style="7" customWidth="1"/>
    <col min="2032" max="2033" width="7.6640625" style="7" customWidth="1"/>
    <col min="2034" max="2034" width="9.6640625" style="7" customWidth="1"/>
    <col min="2035" max="2035" width="7.6640625" style="7" customWidth="1"/>
    <col min="2036" max="2039" width="0" style="7" hidden="1" customWidth="1"/>
    <col min="2040" max="2040" width="14.33203125" style="7" customWidth="1"/>
    <col min="2041" max="2046" width="0" style="7" hidden="1" customWidth="1"/>
    <col min="2047" max="2047" width="10.109375" style="7" bestFit="1" customWidth="1"/>
    <col min="2048" max="2286" width="9.109375" style="7"/>
    <col min="2287" max="2287" width="75.88671875" style="7" customWidth="1"/>
    <col min="2288" max="2289" width="7.6640625" style="7" customWidth="1"/>
    <col min="2290" max="2290" width="9.6640625" style="7" customWidth="1"/>
    <col min="2291" max="2291" width="7.6640625" style="7" customWidth="1"/>
    <col min="2292" max="2295" width="0" style="7" hidden="1" customWidth="1"/>
    <col min="2296" max="2296" width="14.33203125" style="7" customWidth="1"/>
    <col min="2297" max="2302" width="0" style="7" hidden="1" customWidth="1"/>
    <col min="2303" max="2303" width="10.109375" style="7" bestFit="1" customWidth="1"/>
    <col min="2304" max="2542" width="9.109375" style="7"/>
    <col min="2543" max="2543" width="75.88671875" style="7" customWidth="1"/>
    <col min="2544" max="2545" width="7.6640625" style="7" customWidth="1"/>
    <col min="2546" max="2546" width="9.6640625" style="7" customWidth="1"/>
    <col min="2547" max="2547" width="7.6640625" style="7" customWidth="1"/>
    <col min="2548" max="2551" width="0" style="7" hidden="1" customWidth="1"/>
    <col min="2552" max="2552" width="14.33203125" style="7" customWidth="1"/>
    <col min="2553" max="2558" width="0" style="7" hidden="1" customWidth="1"/>
    <col min="2559" max="2559" width="10.109375" style="7" bestFit="1" customWidth="1"/>
    <col min="2560" max="2798" width="9.109375" style="7"/>
    <col min="2799" max="2799" width="75.88671875" style="7" customWidth="1"/>
    <col min="2800" max="2801" width="7.6640625" style="7" customWidth="1"/>
    <col min="2802" max="2802" width="9.6640625" style="7" customWidth="1"/>
    <col min="2803" max="2803" width="7.6640625" style="7" customWidth="1"/>
    <col min="2804" max="2807" width="0" style="7" hidden="1" customWidth="1"/>
    <col min="2808" max="2808" width="14.33203125" style="7" customWidth="1"/>
    <col min="2809" max="2814" width="0" style="7" hidden="1" customWidth="1"/>
    <col min="2815" max="2815" width="10.109375" style="7" bestFit="1" customWidth="1"/>
    <col min="2816" max="3054" width="9.109375" style="7"/>
    <col min="3055" max="3055" width="75.88671875" style="7" customWidth="1"/>
    <col min="3056" max="3057" width="7.6640625" style="7" customWidth="1"/>
    <col min="3058" max="3058" width="9.6640625" style="7" customWidth="1"/>
    <col min="3059" max="3059" width="7.6640625" style="7" customWidth="1"/>
    <col min="3060" max="3063" width="0" style="7" hidden="1" customWidth="1"/>
    <col min="3064" max="3064" width="14.33203125" style="7" customWidth="1"/>
    <col min="3065" max="3070" width="0" style="7" hidden="1" customWidth="1"/>
    <col min="3071" max="3071" width="10.109375" style="7" bestFit="1" customWidth="1"/>
    <col min="3072" max="3310" width="9.109375" style="7"/>
    <col min="3311" max="3311" width="75.88671875" style="7" customWidth="1"/>
    <col min="3312" max="3313" width="7.6640625" style="7" customWidth="1"/>
    <col min="3314" max="3314" width="9.6640625" style="7" customWidth="1"/>
    <col min="3315" max="3315" width="7.6640625" style="7" customWidth="1"/>
    <col min="3316" max="3319" width="0" style="7" hidden="1" customWidth="1"/>
    <col min="3320" max="3320" width="14.33203125" style="7" customWidth="1"/>
    <col min="3321" max="3326" width="0" style="7" hidden="1" customWidth="1"/>
    <col min="3327" max="3327" width="10.109375" style="7" bestFit="1" customWidth="1"/>
    <col min="3328" max="3566" width="9.109375" style="7"/>
    <col min="3567" max="3567" width="75.88671875" style="7" customWidth="1"/>
    <col min="3568" max="3569" width="7.6640625" style="7" customWidth="1"/>
    <col min="3570" max="3570" width="9.6640625" style="7" customWidth="1"/>
    <col min="3571" max="3571" width="7.6640625" style="7" customWidth="1"/>
    <col min="3572" max="3575" width="0" style="7" hidden="1" customWidth="1"/>
    <col min="3576" max="3576" width="14.33203125" style="7" customWidth="1"/>
    <col min="3577" max="3582" width="0" style="7" hidden="1" customWidth="1"/>
    <col min="3583" max="3583" width="10.109375" style="7" bestFit="1" customWidth="1"/>
    <col min="3584" max="3822" width="9.109375" style="7"/>
    <col min="3823" max="3823" width="75.88671875" style="7" customWidth="1"/>
    <col min="3824" max="3825" width="7.6640625" style="7" customWidth="1"/>
    <col min="3826" max="3826" width="9.6640625" style="7" customWidth="1"/>
    <col min="3827" max="3827" width="7.6640625" style="7" customWidth="1"/>
    <col min="3828" max="3831" width="0" style="7" hidden="1" customWidth="1"/>
    <col min="3832" max="3832" width="14.33203125" style="7" customWidth="1"/>
    <col min="3833" max="3838" width="0" style="7" hidden="1" customWidth="1"/>
    <col min="3839" max="3839" width="10.109375" style="7" bestFit="1" customWidth="1"/>
    <col min="3840" max="4078" width="9.109375" style="7"/>
    <col min="4079" max="4079" width="75.88671875" style="7" customWidth="1"/>
    <col min="4080" max="4081" width="7.6640625" style="7" customWidth="1"/>
    <col min="4082" max="4082" width="9.6640625" style="7" customWidth="1"/>
    <col min="4083" max="4083" width="7.6640625" style="7" customWidth="1"/>
    <col min="4084" max="4087" width="0" style="7" hidden="1" customWidth="1"/>
    <col min="4088" max="4088" width="14.33203125" style="7" customWidth="1"/>
    <col min="4089" max="4094" width="0" style="7" hidden="1" customWidth="1"/>
    <col min="4095" max="4095" width="10.109375" style="7" bestFit="1" customWidth="1"/>
    <col min="4096" max="4334" width="9.109375" style="7"/>
    <col min="4335" max="4335" width="75.88671875" style="7" customWidth="1"/>
    <col min="4336" max="4337" width="7.6640625" style="7" customWidth="1"/>
    <col min="4338" max="4338" width="9.6640625" style="7" customWidth="1"/>
    <col min="4339" max="4339" width="7.6640625" style="7" customWidth="1"/>
    <col min="4340" max="4343" width="0" style="7" hidden="1" customWidth="1"/>
    <col min="4344" max="4344" width="14.33203125" style="7" customWidth="1"/>
    <col min="4345" max="4350" width="0" style="7" hidden="1" customWidth="1"/>
    <col min="4351" max="4351" width="10.109375" style="7" bestFit="1" customWidth="1"/>
    <col min="4352" max="4590" width="9.109375" style="7"/>
    <col min="4591" max="4591" width="75.88671875" style="7" customWidth="1"/>
    <col min="4592" max="4593" width="7.6640625" style="7" customWidth="1"/>
    <col min="4594" max="4594" width="9.6640625" style="7" customWidth="1"/>
    <col min="4595" max="4595" width="7.6640625" style="7" customWidth="1"/>
    <col min="4596" max="4599" width="0" style="7" hidden="1" customWidth="1"/>
    <col min="4600" max="4600" width="14.33203125" style="7" customWidth="1"/>
    <col min="4601" max="4606" width="0" style="7" hidden="1" customWidth="1"/>
    <col min="4607" max="4607" width="10.109375" style="7" bestFit="1" customWidth="1"/>
    <col min="4608" max="4846" width="9.109375" style="7"/>
    <col min="4847" max="4847" width="75.88671875" style="7" customWidth="1"/>
    <col min="4848" max="4849" width="7.6640625" style="7" customWidth="1"/>
    <col min="4850" max="4850" width="9.6640625" style="7" customWidth="1"/>
    <col min="4851" max="4851" width="7.6640625" style="7" customWidth="1"/>
    <col min="4852" max="4855" width="0" style="7" hidden="1" customWidth="1"/>
    <col min="4856" max="4856" width="14.33203125" style="7" customWidth="1"/>
    <col min="4857" max="4862" width="0" style="7" hidden="1" customWidth="1"/>
    <col min="4863" max="4863" width="10.109375" style="7" bestFit="1" customWidth="1"/>
    <col min="4864" max="5102" width="9.109375" style="7"/>
    <col min="5103" max="5103" width="75.88671875" style="7" customWidth="1"/>
    <col min="5104" max="5105" width="7.6640625" style="7" customWidth="1"/>
    <col min="5106" max="5106" width="9.6640625" style="7" customWidth="1"/>
    <col min="5107" max="5107" width="7.6640625" style="7" customWidth="1"/>
    <col min="5108" max="5111" width="0" style="7" hidden="1" customWidth="1"/>
    <col min="5112" max="5112" width="14.33203125" style="7" customWidth="1"/>
    <col min="5113" max="5118" width="0" style="7" hidden="1" customWidth="1"/>
    <col min="5119" max="5119" width="10.109375" style="7" bestFit="1" customWidth="1"/>
    <col min="5120" max="5358" width="9.109375" style="7"/>
    <col min="5359" max="5359" width="75.88671875" style="7" customWidth="1"/>
    <col min="5360" max="5361" width="7.6640625" style="7" customWidth="1"/>
    <col min="5362" max="5362" width="9.6640625" style="7" customWidth="1"/>
    <col min="5363" max="5363" width="7.6640625" style="7" customWidth="1"/>
    <col min="5364" max="5367" width="0" style="7" hidden="1" customWidth="1"/>
    <col min="5368" max="5368" width="14.33203125" style="7" customWidth="1"/>
    <col min="5369" max="5374" width="0" style="7" hidden="1" customWidth="1"/>
    <col min="5375" max="5375" width="10.109375" style="7" bestFit="1" customWidth="1"/>
    <col min="5376" max="5614" width="9.109375" style="7"/>
    <col min="5615" max="5615" width="75.88671875" style="7" customWidth="1"/>
    <col min="5616" max="5617" width="7.6640625" style="7" customWidth="1"/>
    <col min="5618" max="5618" width="9.6640625" style="7" customWidth="1"/>
    <col min="5619" max="5619" width="7.6640625" style="7" customWidth="1"/>
    <col min="5620" max="5623" width="0" style="7" hidden="1" customWidth="1"/>
    <col min="5624" max="5624" width="14.33203125" style="7" customWidth="1"/>
    <col min="5625" max="5630" width="0" style="7" hidden="1" customWidth="1"/>
    <col min="5631" max="5631" width="10.109375" style="7" bestFit="1" customWidth="1"/>
    <col min="5632" max="5870" width="9.109375" style="7"/>
    <col min="5871" max="5871" width="75.88671875" style="7" customWidth="1"/>
    <col min="5872" max="5873" width="7.6640625" style="7" customWidth="1"/>
    <col min="5874" max="5874" width="9.6640625" style="7" customWidth="1"/>
    <col min="5875" max="5875" width="7.6640625" style="7" customWidth="1"/>
    <col min="5876" max="5879" width="0" style="7" hidden="1" customWidth="1"/>
    <col min="5880" max="5880" width="14.33203125" style="7" customWidth="1"/>
    <col min="5881" max="5886" width="0" style="7" hidden="1" customWidth="1"/>
    <col min="5887" max="5887" width="10.109375" style="7" bestFit="1" customWidth="1"/>
    <col min="5888" max="6126" width="9.109375" style="7"/>
    <col min="6127" max="6127" width="75.88671875" style="7" customWidth="1"/>
    <col min="6128" max="6129" width="7.6640625" style="7" customWidth="1"/>
    <col min="6130" max="6130" width="9.6640625" style="7" customWidth="1"/>
    <col min="6131" max="6131" width="7.6640625" style="7" customWidth="1"/>
    <col min="6132" max="6135" width="0" style="7" hidden="1" customWidth="1"/>
    <col min="6136" max="6136" width="14.33203125" style="7" customWidth="1"/>
    <col min="6137" max="6142" width="0" style="7" hidden="1" customWidth="1"/>
    <col min="6143" max="6143" width="10.109375" style="7" bestFit="1" customWidth="1"/>
    <col min="6144" max="6382" width="9.109375" style="7"/>
    <col min="6383" max="6383" width="75.88671875" style="7" customWidth="1"/>
    <col min="6384" max="6385" width="7.6640625" style="7" customWidth="1"/>
    <col min="6386" max="6386" width="9.6640625" style="7" customWidth="1"/>
    <col min="6387" max="6387" width="7.6640625" style="7" customWidth="1"/>
    <col min="6388" max="6391" width="0" style="7" hidden="1" customWidth="1"/>
    <col min="6392" max="6392" width="14.33203125" style="7" customWidth="1"/>
    <col min="6393" max="6398" width="0" style="7" hidden="1" customWidth="1"/>
    <col min="6399" max="6399" width="10.109375" style="7" bestFit="1" customWidth="1"/>
    <col min="6400" max="6638" width="9.109375" style="7"/>
    <col min="6639" max="6639" width="75.88671875" style="7" customWidth="1"/>
    <col min="6640" max="6641" width="7.6640625" style="7" customWidth="1"/>
    <col min="6642" max="6642" width="9.6640625" style="7" customWidth="1"/>
    <col min="6643" max="6643" width="7.6640625" style="7" customWidth="1"/>
    <col min="6644" max="6647" width="0" style="7" hidden="1" customWidth="1"/>
    <col min="6648" max="6648" width="14.33203125" style="7" customWidth="1"/>
    <col min="6649" max="6654" width="0" style="7" hidden="1" customWidth="1"/>
    <col min="6655" max="6655" width="10.109375" style="7" bestFit="1" customWidth="1"/>
    <col min="6656" max="6894" width="9.109375" style="7"/>
    <col min="6895" max="6895" width="75.88671875" style="7" customWidth="1"/>
    <col min="6896" max="6897" width="7.6640625" style="7" customWidth="1"/>
    <col min="6898" max="6898" width="9.6640625" style="7" customWidth="1"/>
    <col min="6899" max="6899" width="7.6640625" style="7" customWidth="1"/>
    <col min="6900" max="6903" width="0" style="7" hidden="1" customWidth="1"/>
    <col min="6904" max="6904" width="14.33203125" style="7" customWidth="1"/>
    <col min="6905" max="6910" width="0" style="7" hidden="1" customWidth="1"/>
    <col min="6911" max="6911" width="10.109375" style="7" bestFit="1" customWidth="1"/>
    <col min="6912" max="7150" width="9.109375" style="7"/>
    <col min="7151" max="7151" width="75.88671875" style="7" customWidth="1"/>
    <col min="7152" max="7153" width="7.6640625" style="7" customWidth="1"/>
    <col min="7154" max="7154" width="9.6640625" style="7" customWidth="1"/>
    <col min="7155" max="7155" width="7.6640625" style="7" customWidth="1"/>
    <col min="7156" max="7159" width="0" style="7" hidden="1" customWidth="1"/>
    <col min="7160" max="7160" width="14.33203125" style="7" customWidth="1"/>
    <col min="7161" max="7166" width="0" style="7" hidden="1" customWidth="1"/>
    <col min="7167" max="7167" width="10.109375" style="7" bestFit="1" customWidth="1"/>
    <col min="7168" max="7406" width="9.109375" style="7"/>
    <col min="7407" max="7407" width="75.88671875" style="7" customWidth="1"/>
    <col min="7408" max="7409" width="7.6640625" style="7" customWidth="1"/>
    <col min="7410" max="7410" width="9.6640625" style="7" customWidth="1"/>
    <col min="7411" max="7411" width="7.6640625" style="7" customWidth="1"/>
    <col min="7412" max="7415" width="0" style="7" hidden="1" customWidth="1"/>
    <col min="7416" max="7416" width="14.33203125" style="7" customWidth="1"/>
    <col min="7417" max="7422" width="0" style="7" hidden="1" customWidth="1"/>
    <col min="7423" max="7423" width="10.109375" style="7" bestFit="1" customWidth="1"/>
    <col min="7424" max="7662" width="9.109375" style="7"/>
    <col min="7663" max="7663" width="75.88671875" style="7" customWidth="1"/>
    <col min="7664" max="7665" width="7.6640625" style="7" customWidth="1"/>
    <col min="7666" max="7666" width="9.6640625" style="7" customWidth="1"/>
    <col min="7667" max="7667" width="7.6640625" style="7" customWidth="1"/>
    <col min="7668" max="7671" width="0" style="7" hidden="1" customWidth="1"/>
    <col min="7672" max="7672" width="14.33203125" style="7" customWidth="1"/>
    <col min="7673" max="7678" width="0" style="7" hidden="1" customWidth="1"/>
    <col min="7679" max="7679" width="10.109375" style="7" bestFit="1" customWidth="1"/>
    <col min="7680" max="7918" width="9.109375" style="7"/>
    <col min="7919" max="7919" width="75.88671875" style="7" customWidth="1"/>
    <col min="7920" max="7921" width="7.6640625" style="7" customWidth="1"/>
    <col min="7922" max="7922" width="9.6640625" style="7" customWidth="1"/>
    <col min="7923" max="7923" width="7.6640625" style="7" customWidth="1"/>
    <col min="7924" max="7927" width="0" style="7" hidden="1" customWidth="1"/>
    <col min="7928" max="7928" width="14.33203125" style="7" customWidth="1"/>
    <col min="7929" max="7934" width="0" style="7" hidden="1" customWidth="1"/>
    <col min="7935" max="7935" width="10.109375" style="7" bestFit="1" customWidth="1"/>
    <col min="7936" max="8174" width="9.109375" style="7"/>
    <col min="8175" max="8175" width="75.88671875" style="7" customWidth="1"/>
    <col min="8176" max="8177" width="7.6640625" style="7" customWidth="1"/>
    <col min="8178" max="8178" width="9.6640625" style="7" customWidth="1"/>
    <col min="8179" max="8179" width="7.6640625" style="7" customWidth="1"/>
    <col min="8180" max="8183" width="0" style="7" hidden="1" customWidth="1"/>
    <col min="8184" max="8184" width="14.33203125" style="7" customWidth="1"/>
    <col min="8185" max="8190" width="0" style="7" hidden="1" customWidth="1"/>
    <col min="8191" max="8191" width="10.109375" style="7" bestFit="1" customWidth="1"/>
    <col min="8192" max="8430" width="9.109375" style="7"/>
    <col min="8431" max="8431" width="75.88671875" style="7" customWidth="1"/>
    <col min="8432" max="8433" width="7.6640625" style="7" customWidth="1"/>
    <col min="8434" max="8434" width="9.6640625" style="7" customWidth="1"/>
    <col min="8435" max="8435" width="7.6640625" style="7" customWidth="1"/>
    <col min="8436" max="8439" width="0" style="7" hidden="1" customWidth="1"/>
    <col min="8440" max="8440" width="14.33203125" style="7" customWidth="1"/>
    <col min="8441" max="8446" width="0" style="7" hidden="1" customWidth="1"/>
    <col min="8447" max="8447" width="10.109375" style="7" bestFit="1" customWidth="1"/>
    <col min="8448" max="8686" width="9.109375" style="7"/>
    <col min="8687" max="8687" width="75.88671875" style="7" customWidth="1"/>
    <col min="8688" max="8689" width="7.6640625" style="7" customWidth="1"/>
    <col min="8690" max="8690" width="9.6640625" style="7" customWidth="1"/>
    <col min="8691" max="8691" width="7.6640625" style="7" customWidth="1"/>
    <col min="8692" max="8695" width="0" style="7" hidden="1" customWidth="1"/>
    <col min="8696" max="8696" width="14.33203125" style="7" customWidth="1"/>
    <col min="8697" max="8702" width="0" style="7" hidden="1" customWidth="1"/>
    <col min="8703" max="8703" width="10.109375" style="7" bestFit="1" customWidth="1"/>
    <col min="8704" max="8942" width="9.109375" style="7"/>
    <col min="8943" max="8943" width="75.88671875" style="7" customWidth="1"/>
    <col min="8944" max="8945" width="7.6640625" style="7" customWidth="1"/>
    <col min="8946" max="8946" width="9.6640625" style="7" customWidth="1"/>
    <col min="8947" max="8947" width="7.6640625" style="7" customWidth="1"/>
    <col min="8948" max="8951" width="0" style="7" hidden="1" customWidth="1"/>
    <col min="8952" max="8952" width="14.33203125" style="7" customWidth="1"/>
    <col min="8953" max="8958" width="0" style="7" hidden="1" customWidth="1"/>
    <col min="8959" max="8959" width="10.109375" style="7" bestFit="1" customWidth="1"/>
    <col min="8960" max="9198" width="9.109375" style="7"/>
    <col min="9199" max="9199" width="75.88671875" style="7" customWidth="1"/>
    <col min="9200" max="9201" width="7.6640625" style="7" customWidth="1"/>
    <col min="9202" max="9202" width="9.6640625" style="7" customWidth="1"/>
    <col min="9203" max="9203" width="7.6640625" style="7" customWidth="1"/>
    <col min="9204" max="9207" width="0" style="7" hidden="1" customWidth="1"/>
    <col min="9208" max="9208" width="14.33203125" style="7" customWidth="1"/>
    <col min="9209" max="9214" width="0" style="7" hidden="1" customWidth="1"/>
    <col min="9215" max="9215" width="10.109375" style="7" bestFit="1" customWidth="1"/>
    <col min="9216" max="9454" width="9.109375" style="7"/>
    <col min="9455" max="9455" width="75.88671875" style="7" customWidth="1"/>
    <col min="9456" max="9457" width="7.6640625" style="7" customWidth="1"/>
    <col min="9458" max="9458" width="9.6640625" style="7" customWidth="1"/>
    <col min="9459" max="9459" width="7.6640625" style="7" customWidth="1"/>
    <col min="9460" max="9463" width="0" style="7" hidden="1" customWidth="1"/>
    <col min="9464" max="9464" width="14.33203125" style="7" customWidth="1"/>
    <col min="9465" max="9470" width="0" style="7" hidden="1" customWidth="1"/>
    <col min="9471" max="9471" width="10.109375" style="7" bestFit="1" customWidth="1"/>
    <col min="9472" max="9710" width="9.109375" style="7"/>
    <col min="9711" max="9711" width="75.88671875" style="7" customWidth="1"/>
    <col min="9712" max="9713" width="7.6640625" style="7" customWidth="1"/>
    <col min="9714" max="9714" width="9.6640625" style="7" customWidth="1"/>
    <col min="9715" max="9715" width="7.6640625" style="7" customWidth="1"/>
    <col min="9716" max="9719" width="0" style="7" hidden="1" customWidth="1"/>
    <col min="9720" max="9720" width="14.33203125" style="7" customWidth="1"/>
    <col min="9721" max="9726" width="0" style="7" hidden="1" customWidth="1"/>
    <col min="9727" max="9727" width="10.109375" style="7" bestFit="1" customWidth="1"/>
    <col min="9728" max="9966" width="9.109375" style="7"/>
    <col min="9967" max="9967" width="75.88671875" style="7" customWidth="1"/>
    <col min="9968" max="9969" width="7.6640625" style="7" customWidth="1"/>
    <col min="9970" max="9970" width="9.6640625" style="7" customWidth="1"/>
    <col min="9971" max="9971" width="7.6640625" style="7" customWidth="1"/>
    <col min="9972" max="9975" width="0" style="7" hidden="1" customWidth="1"/>
    <col min="9976" max="9976" width="14.33203125" style="7" customWidth="1"/>
    <col min="9977" max="9982" width="0" style="7" hidden="1" customWidth="1"/>
    <col min="9983" max="9983" width="10.109375" style="7" bestFit="1" customWidth="1"/>
    <col min="9984" max="10222" width="9.109375" style="7"/>
    <col min="10223" max="10223" width="75.88671875" style="7" customWidth="1"/>
    <col min="10224" max="10225" width="7.6640625" style="7" customWidth="1"/>
    <col min="10226" max="10226" width="9.6640625" style="7" customWidth="1"/>
    <col min="10227" max="10227" width="7.6640625" style="7" customWidth="1"/>
    <col min="10228" max="10231" width="0" style="7" hidden="1" customWidth="1"/>
    <col min="10232" max="10232" width="14.33203125" style="7" customWidth="1"/>
    <col min="10233" max="10238" width="0" style="7" hidden="1" customWidth="1"/>
    <col min="10239" max="10239" width="10.109375" style="7" bestFit="1" customWidth="1"/>
    <col min="10240" max="10478" width="9.109375" style="7"/>
    <col min="10479" max="10479" width="75.88671875" style="7" customWidth="1"/>
    <col min="10480" max="10481" width="7.6640625" style="7" customWidth="1"/>
    <col min="10482" max="10482" width="9.6640625" style="7" customWidth="1"/>
    <col min="10483" max="10483" width="7.6640625" style="7" customWidth="1"/>
    <col min="10484" max="10487" width="0" style="7" hidden="1" customWidth="1"/>
    <col min="10488" max="10488" width="14.33203125" style="7" customWidth="1"/>
    <col min="10489" max="10494" width="0" style="7" hidden="1" customWidth="1"/>
    <col min="10495" max="10495" width="10.109375" style="7" bestFit="1" customWidth="1"/>
    <col min="10496" max="10734" width="9.109375" style="7"/>
    <col min="10735" max="10735" width="75.88671875" style="7" customWidth="1"/>
    <col min="10736" max="10737" width="7.6640625" style="7" customWidth="1"/>
    <col min="10738" max="10738" width="9.6640625" style="7" customWidth="1"/>
    <col min="10739" max="10739" width="7.6640625" style="7" customWidth="1"/>
    <col min="10740" max="10743" width="0" style="7" hidden="1" customWidth="1"/>
    <col min="10744" max="10744" width="14.33203125" style="7" customWidth="1"/>
    <col min="10745" max="10750" width="0" style="7" hidden="1" customWidth="1"/>
    <col min="10751" max="10751" width="10.109375" style="7" bestFit="1" customWidth="1"/>
    <col min="10752" max="10990" width="9.109375" style="7"/>
    <col min="10991" max="10991" width="75.88671875" style="7" customWidth="1"/>
    <col min="10992" max="10993" width="7.6640625" style="7" customWidth="1"/>
    <col min="10994" max="10994" width="9.6640625" style="7" customWidth="1"/>
    <col min="10995" max="10995" width="7.6640625" style="7" customWidth="1"/>
    <col min="10996" max="10999" width="0" style="7" hidden="1" customWidth="1"/>
    <col min="11000" max="11000" width="14.33203125" style="7" customWidth="1"/>
    <col min="11001" max="11006" width="0" style="7" hidden="1" customWidth="1"/>
    <col min="11007" max="11007" width="10.109375" style="7" bestFit="1" customWidth="1"/>
    <col min="11008" max="11246" width="9.109375" style="7"/>
    <col min="11247" max="11247" width="75.88671875" style="7" customWidth="1"/>
    <col min="11248" max="11249" width="7.6640625" style="7" customWidth="1"/>
    <col min="11250" max="11250" width="9.6640625" style="7" customWidth="1"/>
    <col min="11251" max="11251" width="7.6640625" style="7" customWidth="1"/>
    <col min="11252" max="11255" width="0" style="7" hidden="1" customWidth="1"/>
    <col min="11256" max="11256" width="14.33203125" style="7" customWidth="1"/>
    <col min="11257" max="11262" width="0" style="7" hidden="1" customWidth="1"/>
    <col min="11263" max="11263" width="10.109375" style="7" bestFit="1" customWidth="1"/>
    <col min="11264" max="11502" width="9.109375" style="7"/>
    <col min="11503" max="11503" width="75.88671875" style="7" customWidth="1"/>
    <col min="11504" max="11505" width="7.6640625" style="7" customWidth="1"/>
    <col min="11506" max="11506" width="9.6640625" style="7" customWidth="1"/>
    <col min="11507" max="11507" width="7.6640625" style="7" customWidth="1"/>
    <col min="11508" max="11511" width="0" style="7" hidden="1" customWidth="1"/>
    <col min="11512" max="11512" width="14.33203125" style="7" customWidth="1"/>
    <col min="11513" max="11518" width="0" style="7" hidden="1" customWidth="1"/>
    <col min="11519" max="11519" width="10.109375" style="7" bestFit="1" customWidth="1"/>
    <col min="11520" max="11758" width="9.109375" style="7"/>
    <col min="11759" max="11759" width="75.88671875" style="7" customWidth="1"/>
    <col min="11760" max="11761" width="7.6640625" style="7" customWidth="1"/>
    <col min="11762" max="11762" width="9.6640625" style="7" customWidth="1"/>
    <col min="11763" max="11763" width="7.6640625" style="7" customWidth="1"/>
    <col min="11764" max="11767" width="0" style="7" hidden="1" customWidth="1"/>
    <col min="11768" max="11768" width="14.33203125" style="7" customWidth="1"/>
    <col min="11769" max="11774" width="0" style="7" hidden="1" customWidth="1"/>
    <col min="11775" max="11775" width="10.109375" style="7" bestFit="1" customWidth="1"/>
    <col min="11776" max="12014" width="9.109375" style="7"/>
    <col min="12015" max="12015" width="75.88671875" style="7" customWidth="1"/>
    <col min="12016" max="12017" width="7.6640625" style="7" customWidth="1"/>
    <col min="12018" max="12018" width="9.6640625" style="7" customWidth="1"/>
    <col min="12019" max="12019" width="7.6640625" style="7" customWidth="1"/>
    <col min="12020" max="12023" width="0" style="7" hidden="1" customWidth="1"/>
    <col min="12024" max="12024" width="14.33203125" style="7" customWidth="1"/>
    <col min="12025" max="12030" width="0" style="7" hidden="1" customWidth="1"/>
    <col min="12031" max="12031" width="10.109375" style="7" bestFit="1" customWidth="1"/>
    <col min="12032" max="12270" width="9.109375" style="7"/>
    <col min="12271" max="12271" width="75.88671875" style="7" customWidth="1"/>
    <col min="12272" max="12273" width="7.6640625" style="7" customWidth="1"/>
    <col min="12274" max="12274" width="9.6640625" style="7" customWidth="1"/>
    <col min="12275" max="12275" width="7.6640625" style="7" customWidth="1"/>
    <col min="12276" max="12279" width="0" style="7" hidden="1" customWidth="1"/>
    <col min="12280" max="12280" width="14.33203125" style="7" customWidth="1"/>
    <col min="12281" max="12286" width="0" style="7" hidden="1" customWidth="1"/>
    <col min="12287" max="12287" width="10.109375" style="7" bestFit="1" customWidth="1"/>
    <col min="12288" max="12526" width="9.109375" style="7"/>
    <col min="12527" max="12527" width="75.88671875" style="7" customWidth="1"/>
    <col min="12528" max="12529" width="7.6640625" style="7" customWidth="1"/>
    <col min="12530" max="12530" width="9.6640625" style="7" customWidth="1"/>
    <col min="12531" max="12531" width="7.6640625" style="7" customWidth="1"/>
    <col min="12532" max="12535" width="0" style="7" hidden="1" customWidth="1"/>
    <col min="12536" max="12536" width="14.33203125" style="7" customWidth="1"/>
    <col min="12537" max="12542" width="0" style="7" hidden="1" customWidth="1"/>
    <col min="12543" max="12543" width="10.109375" style="7" bestFit="1" customWidth="1"/>
    <col min="12544" max="12782" width="9.109375" style="7"/>
    <col min="12783" max="12783" width="75.88671875" style="7" customWidth="1"/>
    <col min="12784" max="12785" width="7.6640625" style="7" customWidth="1"/>
    <col min="12786" max="12786" width="9.6640625" style="7" customWidth="1"/>
    <col min="12787" max="12787" width="7.6640625" style="7" customWidth="1"/>
    <col min="12788" max="12791" width="0" style="7" hidden="1" customWidth="1"/>
    <col min="12792" max="12792" width="14.33203125" style="7" customWidth="1"/>
    <col min="12793" max="12798" width="0" style="7" hidden="1" customWidth="1"/>
    <col min="12799" max="12799" width="10.109375" style="7" bestFit="1" customWidth="1"/>
    <col min="12800" max="13038" width="9.109375" style="7"/>
    <col min="13039" max="13039" width="75.88671875" style="7" customWidth="1"/>
    <col min="13040" max="13041" width="7.6640625" style="7" customWidth="1"/>
    <col min="13042" max="13042" width="9.6640625" style="7" customWidth="1"/>
    <col min="13043" max="13043" width="7.6640625" style="7" customWidth="1"/>
    <col min="13044" max="13047" width="0" style="7" hidden="1" customWidth="1"/>
    <col min="13048" max="13048" width="14.33203125" style="7" customWidth="1"/>
    <col min="13049" max="13054" width="0" style="7" hidden="1" customWidth="1"/>
    <col min="13055" max="13055" width="10.109375" style="7" bestFit="1" customWidth="1"/>
    <col min="13056" max="13294" width="9.109375" style="7"/>
    <col min="13295" max="13295" width="75.88671875" style="7" customWidth="1"/>
    <col min="13296" max="13297" width="7.6640625" style="7" customWidth="1"/>
    <col min="13298" max="13298" width="9.6640625" style="7" customWidth="1"/>
    <col min="13299" max="13299" width="7.6640625" style="7" customWidth="1"/>
    <col min="13300" max="13303" width="0" style="7" hidden="1" customWidth="1"/>
    <col min="13304" max="13304" width="14.33203125" style="7" customWidth="1"/>
    <col min="13305" max="13310" width="0" style="7" hidden="1" customWidth="1"/>
    <col min="13311" max="13311" width="10.109375" style="7" bestFit="1" customWidth="1"/>
    <col min="13312" max="13550" width="9.109375" style="7"/>
    <col min="13551" max="13551" width="75.88671875" style="7" customWidth="1"/>
    <col min="13552" max="13553" width="7.6640625" style="7" customWidth="1"/>
    <col min="13554" max="13554" width="9.6640625" style="7" customWidth="1"/>
    <col min="13555" max="13555" width="7.6640625" style="7" customWidth="1"/>
    <col min="13556" max="13559" width="0" style="7" hidden="1" customWidth="1"/>
    <col min="13560" max="13560" width="14.33203125" style="7" customWidth="1"/>
    <col min="13561" max="13566" width="0" style="7" hidden="1" customWidth="1"/>
    <col min="13567" max="13567" width="10.109375" style="7" bestFit="1" customWidth="1"/>
    <col min="13568" max="13806" width="9.109375" style="7"/>
    <col min="13807" max="13807" width="75.88671875" style="7" customWidth="1"/>
    <col min="13808" max="13809" width="7.6640625" style="7" customWidth="1"/>
    <col min="13810" max="13810" width="9.6640625" style="7" customWidth="1"/>
    <col min="13811" max="13811" width="7.6640625" style="7" customWidth="1"/>
    <col min="13812" max="13815" width="0" style="7" hidden="1" customWidth="1"/>
    <col min="13816" max="13816" width="14.33203125" style="7" customWidth="1"/>
    <col min="13817" max="13822" width="0" style="7" hidden="1" customWidth="1"/>
    <col min="13823" max="13823" width="10.109375" style="7" bestFit="1" customWidth="1"/>
    <col min="13824" max="14062" width="9.109375" style="7"/>
    <col min="14063" max="14063" width="75.88671875" style="7" customWidth="1"/>
    <col min="14064" max="14065" width="7.6640625" style="7" customWidth="1"/>
    <col min="14066" max="14066" width="9.6640625" style="7" customWidth="1"/>
    <col min="14067" max="14067" width="7.6640625" style="7" customWidth="1"/>
    <col min="14068" max="14071" width="0" style="7" hidden="1" customWidth="1"/>
    <col min="14072" max="14072" width="14.33203125" style="7" customWidth="1"/>
    <col min="14073" max="14078" width="0" style="7" hidden="1" customWidth="1"/>
    <col min="14079" max="14079" width="10.109375" style="7" bestFit="1" customWidth="1"/>
    <col min="14080" max="14318" width="9.109375" style="7"/>
    <col min="14319" max="14319" width="75.88671875" style="7" customWidth="1"/>
    <col min="14320" max="14321" width="7.6640625" style="7" customWidth="1"/>
    <col min="14322" max="14322" width="9.6640625" style="7" customWidth="1"/>
    <col min="14323" max="14323" width="7.6640625" style="7" customWidth="1"/>
    <col min="14324" max="14327" width="0" style="7" hidden="1" customWidth="1"/>
    <col min="14328" max="14328" width="14.33203125" style="7" customWidth="1"/>
    <col min="14329" max="14334" width="0" style="7" hidden="1" customWidth="1"/>
    <col min="14335" max="14335" width="10.109375" style="7" bestFit="1" customWidth="1"/>
    <col min="14336" max="14574" width="9.109375" style="7"/>
    <col min="14575" max="14575" width="75.88671875" style="7" customWidth="1"/>
    <col min="14576" max="14577" width="7.6640625" style="7" customWidth="1"/>
    <col min="14578" max="14578" width="9.6640625" style="7" customWidth="1"/>
    <col min="14579" max="14579" width="7.6640625" style="7" customWidth="1"/>
    <col min="14580" max="14583" width="0" style="7" hidden="1" customWidth="1"/>
    <col min="14584" max="14584" width="14.33203125" style="7" customWidth="1"/>
    <col min="14585" max="14590" width="0" style="7" hidden="1" customWidth="1"/>
    <col min="14591" max="14591" width="10.109375" style="7" bestFit="1" customWidth="1"/>
    <col min="14592" max="14830" width="9.109375" style="7"/>
    <col min="14831" max="14831" width="75.88671875" style="7" customWidth="1"/>
    <col min="14832" max="14833" width="7.6640625" style="7" customWidth="1"/>
    <col min="14834" max="14834" width="9.6640625" style="7" customWidth="1"/>
    <col min="14835" max="14835" width="7.6640625" style="7" customWidth="1"/>
    <col min="14836" max="14839" width="0" style="7" hidden="1" customWidth="1"/>
    <col min="14840" max="14840" width="14.33203125" style="7" customWidth="1"/>
    <col min="14841" max="14846" width="0" style="7" hidden="1" customWidth="1"/>
    <col min="14847" max="14847" width="10.109375" style="7" bestFit="1" customWidth="1"/>
    <col min="14848" max="15086" width="9.109375" style="7"/>
    <col min="15087" max="15087" width="75.88671875" style="7" customWidth="1"/>
    <col min="15088" max="15089" width="7.6640625" style="7" customWidth="1"/>
    <col min="15090" max="15090" width="9.6640625" style="7" customWidth="1"/>
    <col min="15091" max="15091" width="7.6640625" style="7" customWidth="1"/>
    <col min="15092" max="15095" width="0" style="7" hidden="1" customWidth="1"/>
    <col min="15096" max="15096" width="14.33203125" style="7" customWidth="1"/>
    <col min="15097" max="15102" width="0" style="7" hidden="1" customWidth="1"/>
    <col min="15103" max="15103" width="10.109375" style="7" bestFit="1" customWidth="1"/>
    <col min="15104" max="15342" width="9.109375" style="7"/>
    <col min="15343" max="15343" width="75.88671875" style="7" customWidth="1"/>
    <col min="15344" max="15345" width="7.6640625" style="7" customWidth="1"/>
    <col min="15346" max="15346" width="9.6640625" style="7" customWidth="1"/>
    <col min="15347" max="15347" width="7.6640625" style="7" customWidth="1"/>
    <col min="15348" max="15351" width="0" style="7" hidden="1" customWidth="1"/>
    <col min="15352" max="15352" width="14.33203125" style="7" customWidth="1"/>
    <col min="15353" max="15358" width="0" style="7" hidden="1" customWidth="1"/>
    <col min="15359" max="15359" width="10.109375" style="7" bestFit="1" customWidth="1"/>
    <col min="15360" max="15598" width="9.109375" style="7"/>
    <col min="15599" max="15599" width="75.88671875" style="7" customWidth="1"/>
    <col min="15600" max="15601" width="7.6640625" style="7" customWidth="1"/>
    <col min="15602" max="15602" width="9.6640625" style="7" customWidth="1"/>
    <col min="15603" max="15603" width="7.6640625" style="7" customWidth="1"/>
    <col min="15604" max="15607" width="0" style="7" hidden="1" customWidth="1"/>
    <col min="15608" max="15608" width="14.33203125" style="7" customWidth="1"/>
    <col min="15609" max="15614" width="0" style="7" hidden="1" customWidth="1"/>
    <col min="15615" max="15615" width="10.109375" style="7" bestFit="1" customWidth="1"/>
    <col min="15616" max="15854" width="9.109375" style="7"/>
    <col min="15855" max="15855" width="75.88671875" style="7" customWidth="1"/>
    <col min="15856" max="15857" width="7.6640625" style="7" customWidth="1"/>
    <col min="15858" max="15858" width="9.6640625" style="7" customWidth="1"/>
    <col min="15859" max="15859" width="7.6640625" style="7" customWidth="1"/>
    <col min="15860" max="15863" width="0" style="7" hidden="1" customWidth="1"/>
    <col min="15864" max="15864" width="14.33203125" style="7" customWidth="1"/>
    <col min="15865" max="15870" width="0" style="7" hidden="1" customWidth="1"/>
    <col min="15871" max="15871" width="10.109375" style="7" bestFit="1" customWidth="1"/>
    <col min="15872" max="16110" width="9.109375" style="7"/>
    <col min="16111" max="16111" width="75.88671875" style="7" customWidth="1"/>
    <col min="16112" max="16113" width="7.6640625" style="7" customWidth="1"/>
    <col min="16114" max="16114" width="9.6640625" style="7" customWidth="1"/>
    <col min="16115" max="16115" width="7.6640625" style="7" customWidth="1"/>
    <col min="16116" max="16119" width="0" style="7" hidden="1" customWidth="1"/>
    <col min="16120" max="16120" width="14.33203125" style="7" customWidth="1"/>
    <col min="16121" max="16126" width="0" style="7" hidden="1" customWidth="1"/>
    <col min="16127" max="16127" width="10.109375" style="7" bestFit="1" customWidth="1"/>
    <col min="16128" max="16384" width="9.109375" style="7"/>
  </cols>
  <sheetData>
    <row r="1" spans="1:8">
      <c r="D1" s="350" t="s">
        <v>953</v>
      </c>
      <c r="E1" s="350"/>
      <c r="F1" s="350"/>
    </row>
    <row r="2" spans="1:8">
      <c r="B2" s="350" t="s">
        <v>930</v>
      </c>
      <c r="C2" s="350"/>
      <c r="D2" s="350"/>
      <c r="E2" s="350"/>
      <c r="F2" s="350"/>
    </row>
    <row r="3" spans="1:8">
      <c r="C3" s="350" t="s">
        <v>940</v>
      </c>
      <c r="D3" s="350"/>
      <c r="E3" s="350"/>
      <c r="F3" s="350"/>
    </row>
    <row r="4" spans="1:8">
      <c r="D4" s="350" t="s">
        <v>945</v>
      </c>
      <c r="E4" s="350"/>
      <c r="F4" s="350"/>
    </row>
    <row r="5" spans="1:8">
      <c r="F5" s="341" t="s">
        <v>253</v>
      </c>
    </row>
    <row r="6" spans="1:8">
      <c r="F6" s="341" t="s">
        <v>933</v>
      </c>
    </row>
    <row r="7" spans="1:8">
      <c r="F7" s="341" t="s">
        <v>664</v>
      </c>
    </row>
    <row r="8" spans="1:8">
      <c r="F8" s="344" t="s">
        <v>937</v>
      </c>
    </row>
    <row r="9" spans="1:8" s="259" customFormat="1">
      <c r="A9" s="362" t="s">
        <v>240</v>
      </c>
      <c r="B9" s="362"/>
      <c r="C9" s="362"/>
      <c r="D9" s="362"/>
      <c r="E9" s="362"/>
      <c r="F9" s="362"/>
      <c r="G9" s="258"/>
      <c r="H9" s="258"/>
    </row>
    <row r="10" spans="1:8" s="259" customFormat="1">
      <c r="A10" s="363" t="s">
        <v>786</v>
      </c>
      <c r="B10" s="363"/>
      <c r="C10" s="363"/>
      <c r="D10" s="363"/>
      <c r="E10" s="363"/>
      <c r="F10" s="363"/>
      <c r="G10" s="258"/>
      <c r="H10" s="258"/>
    </row>
    <row r="11" spans="1:8" s="259" customFormat="1">
      <c r="A11" s="363" t="s">
        <v>475</v>
      </c>
      <c r="B11" s="363"/>
      <c r="C11" s="363"/>
      <c r="D11" s="363"/>
      <c r="E11" s="363"/>
      <c r="F11" s="363"/>
      <c r="G11" s="258"/>
      <c r="H11" s="258"/>
    </row>
    <row r="12" spans="1:8" s="259" customFormat="1">
      <c r="A12" s="260"/>
      <c r="B12" s="342"/>
      <c r="C12" s="342"/>
      <c r="D12" s="342"/>
      <c r="E12" s="342"/>
      <c r="F12" s="261" t="s">
        <v>408</v>
      </c>
      <c r="G12" s="258"/>
      <c r="H12" s="258"/>
    </row>
    <row r="13" spans="1:8">
      <c r="A13" s="262" t="s">
        <v>0</v>
      </c>
      <c r="B13" s="262" t="s">
        <v>1</v>
      </c>
      <c r="C13" s="262" t="s">
        <v>2</v>
      </c>
      <c r="D13" s="262" t="s">
        <v>3</v>
      </c>
      <c r="E13" s="262" t="s">
        <v>4</v>
      </c>
      <c r="F13" s="178" t="s">
        <v>787</v>
      </c>
    </row>
    <row r="14" spans="1:8" s="264" customFormat="1" ht="34.799999999999997">
      <c r="A14" s="191" t="s">
        <v>497</v>
      </c>
      <c r="B14" s="192" t="s">
        <v>503</v>
      </c>
      <c r="C14" s="192" t="s">
        <v>5</v>
      </c>
      <c r="D14" s="192" t="s">
        <v>126</v>
      </c>
      <c r="E14" s="192" t="s">
        <v>6</v>
      </c>
      <c r="F14" s="215">
        <f>F15</f>
        <v>7771061.0300000003</v>
      </c>
      <c r="G14" s="263"/>
      <c r="H14" s="263"/>
    </row>
    <row r="15" spans="1:8" outlineLevel="1">
      <c r="A15" s="164" t="s">
        <v>7</v>
      </c>
      <c r="B15" s="163" t="s">
        <v>503</v>
      </c>
      <c r="C15" s="163" t="s">
        <v>8</v>
      </c>
      <c r="D15" s="163" t="s">
        <v>126</v>
      </c>
      <c r="E15" s="163" t="s">
        <v>6</v>
      </c>
      <c r="F15" s="167">
        <f t="shared" ref="F15" si="0">F16+F25</f>
        <v>7771061.0300000003</v>
      </c>
    </row>
    <row r="16" spans="1:8" ht="39.15" customHeight="1" outlineLevel="2">
      <c r="A16" s="164" t="s">
        <v>9</v>
      </c>
      <c r="B16" s="163" t="s">
        <v>503</v>
      </c>
      <c r="C16" s="163" t="s">
        <v>10</v>
      </c>
      <c r="D16" s="163" t="s">
        <v>126</v>
      </c>
      <c r="E16" s="163" t="s">
        <v>6</v>
      </c>
      <c r="F16" s="167">
        <f t="shared" ref="F16:F17" si="1">F17</f>
        <v>7235605.0300000003</v>
      </c>
    </row>
    <row r="17" spans="1:8" ht="36" outlineLevel="4">
      <c r="A17" s="164" t="s">
        <v>132</v>
      </c>
      <c r="B17" s="163" t="s">
        <v>503</v>
      </c>
      <c r="C17" s="163" t="s">
        <v>10</v>
      </c>
      <c r="D17" s="163" t="s">
        <v>127</v>
      </c>
      <c r="E17" s="163" t="s">
        <v>6</v>
      </c>
      <c r="F17" s="167">
        <f t="shared" si="1"/>
        <v>7235605.0300000003</v>
      </c>
    </row>
    <row r="18" spans="1:8" ht="43.5" customHeight="1" outlineLevel="5">
      <c r="A18" s="164" t="s">
        <v>498</v>
      </c>
      <c r="B18" s="163" t="s">
        <v>503</v>
      </c>
      <c r="C18" s="163" t="s">
        <v>10</v>
      </c>
      <c r="D18" s="163" t="s">
        <v>499</v>
      </c>
      <c r="E18" s="163" t="s">
        <v>6</v>
      </c>
      <c r="F18" s="167">
        <f t="shared" ref="F18" si="2">F19+F21+F23</f>
        <v>7235605.0300000003</v>
      </c>
    </row>
    <row r="19" spans="1:8" ht="76.650000000000006" customHeight="1" outlineLevel="6">
      <c r="A19" s="164" t="s">
        <v>11</v>
      </c>
      <c r="B19" s="163" t="s">
        <v>503</v>
      </c>
      <c r="C19" s="163" t="s">
        <v>10</v>
      </c>
      <c r="D19" s="163" t="s">
        <v>499</v>
      </c>
      <c r="E19" s="163" t="s">
        <v>12</v>
      </c>
      <c r="F19" s="167">
        <f t="shared" ref="F19" si="3">F20</f>
        <v>6985405.0300000003</v>
      </c>
    </row>
    <row r="20" spans="1:8" ht="36" outlineLevel="7">
      <c r="A20" s="164" t="s">
        <v>13</v>
      </c>
      <c r="B20" s="163" t="s">
        <v>503</v>
      </c>
      <c r="C20" s="163" t="s">
        <v>10</v>
      </c>
      <c r="D20" s="163" t="s">
        <v>499</v>
      </c>
      <c r="E20" s="163" t="s">
        <v>14</v>
      </c>
      <c r="F20" s="184">
        <f>потребность!I20</f>
        <v>6985405.0300000003</v>
      </c>
    </row>
    <row r="21" spans="1:8" ht="36" outlineLevel="6">
      <c r="A21" s="164" t="s">
        <v>15</v>
      </c>
      <c r="B21" s="163" t="s">
        <v>503</v>
      </c>
      <c r="C21" s="163" t="s">
        <v>10</v>
      </c>
      <c r="D21" s="163" t="s">
        <v>499</v>
      </c>
      <c r="E21" s="163" t="s">
        <v>16</v>
      </c>
      <c r="F21" s="167">
        <f t="shared" ref="F21" si="4">F22</f>
        <v>250200</v>
      </c>
    </row>
    <row r="22" spans="1:8" ht="22.65" customHeight="1" outlineLevel="7">
      <c r="A22" s="164" t="s">
        <v>17</v>
      </c>
      <c r="B22" s="163" t="s">
        <v>503</v>
      </c>
      <c r="C22" s="163" t="s">
        <v>10</v>
      </c>
      <c r="D22" s="163" t="s">
        <v>499</v>
      </c>
      <c r="E22" s="163" t="s">
        <v>18</v>
      </c>
      <c r="F22" s="184">
        <v>250200</v>
      </c>
    </row>
    <row r="23" spans="1:8" hidden="1" outlineLevel="6">
      <c r="A23" s="164" t="s">
        <v>19</v>
      </c>
      <c r="B23" s="163" t="s">
        <v>503</v>
      </c>
      <c r="C23" s="163" t="s">
        <v>10</v>
      </c>
      <c r="D23" s="163" t="s">
        <v>499</v>
      </c>
      <c r="E23" s="163" t="s">
        <v>20</v>
      </c>
      <c r="F23" s="167">
        <f>F24</f>
        <v>0</v>
      </c>
    </row>
    <row r="24" spans="1:8" hidden="1" outlineLevel="7">
      <c r="A24" s="164" t="s">
        <v>21</v>
      </c>
      <c r="B24" s="163" t="s">
        <v>503</v>
      </c>
      <c r="C24" s="163" t="s">
        <v>10</v>
      </c>
      <c r="D24" s="163" t="s">
        <v>499</v>
      </c>
      <c r="E24" s="163" t="s">
        <v>22</v>
      </c>
      <c r="F24" s="184">
        <v>0</v>
      </c>
    </row>
    <row r="25" spans="1:8" outlineLevel="2" collapsed="1">
      <c r="A25" s="164" t="s">
        <v>23</v>
      </c>
      <c r="B25" s="163" t="s">
        <v>503</v>
      </c>
      <c r="C25" s="163" t="s">
        <v>24</v>
      </c>
      <c r="D25" s="163" t="s">
        <v>126</v>
      </c>
      <c r="E25" s="163" t="s">
        <v>6</v>
      </c>
      <c r="F25" s="167">
        <f t="shared" ref="F25" si="5">F26+F31</f>
        <v>535456</v>
      </c>
    </row>
    <row r="26" spans="1:8" s="266" customFormat="1" ht="39.75" customHeight="1" outlineLevel="3">
      <c r="A26" s="196" t="s">
        <v>858</v>
      </c>
      <c r="B26" s="197" t="s">
        <v>503</v>
      </c>
      <c r="C26" s="197" t="s">
        <v>24</v>
      </c>
      <c r="D26" s="197" t="s">
        <v>128</v>
      </c>
      <c r="E26" s="197" t="s">
        <v>6</v>
      </c>
      <c r="F26" s="171">
        <f t="shared" ref="F26:F29" si="6">F27</f>
        <v>58240</v>
      </c>
      <c r="G26" s="265"/>
      <c r="H26" s="265"/>
    </row>
    <row r="27" spans="1:8" ht="39.15" customHeight="1" outlineLevel="4">
      <c r="A27" s="164" t="s">
        <v>883</v>
      </c>
      <c r="B27" s="163" t="s">
        <v>503</v>
      </c>
      <c r="C27" s="163" t="s">
        <v>24</v>
      </c>
      <c r="D27" s="163" t="s">
        <v>315</v>
      </c>
      <c r="E27" s="163" t="s">
        <v>6</v>
      </c>
      <c r="F27" s="167">
        <f t="shared" si="6"/>
        <v>58240</v>
      </c>
    </row>
    <row r="28" spans="1:8" outlineLevel="5">
      <c r="A28" s="200" t="s">
        <v>321</v>
      </c>
      <c r="B28" s="163" t="s">
        <v>503</v>
      </c>
      <c r="C28" s="163" t="s">
        <v>24</v>
      </c>
      <c r="D28" s="163" t="s">
        <v>316</v>
      </c>
      <c r="E28" s="163" t="s">
        <v>6</v>
      </c>
      <c r="F28" s="167">
        <f t="shared" si="6"/>
        <v>58240</v>
      </c>
    </row>
    <row r="29" spans="1:8" ht="36" outlineLevel="6">
      <c r="A29" s="164" t="s">
        <v>15</v>
      </c>
      <c r="B29" s="163" t="s">
        <v>503</v>
      </c>
      <c r="C29" s="163" t="s">
        <v>24</v>
      </c>
      <c r="D29" s="163" t="s">
        <v>316</v>
      </c>
      <c r="E29" s="163" t="s">
        <v>16</v>
      </c>
      <c r="F29" s="167">
        <f t="shared" si="6"/>
        <v>58240</v>
      </c>
    </row>
    <row r="30" spans="1:8" ht="19.5" customHeight="1" outlineLevel="7">
      <c r="A30" s="164" t="s">
        <v>17</v>
      </c>
      <c r="B30" s="163" t="s">
        <v>503</v>
      </c>
      <c r="C30" s="163" t="s">
        <v>24</v>
      </c>
      <c r="D30" s="163" t="s">
        <v>316</v>
      </c>
      <c r="E30" s="163" t="s">
        <v>18</v>
      </c>
      <c r="F30" s="184">
        <v>58240</v>
      </c>
    </row>
    <row r="31" spans="1:8" s="266" customFormat="1" ht="36.75" customHeight="1" outlineLevel="7">
      <c r="A31" s="201" t="s">
        <v>857</v>
      </c>
      <c r="B31" s="197" t="s">
        <v>503</v>
      </c>
      <c r="C31" s="163" t="s">
        <v>24</v>
      </c>
      <c r="D31" s="197" t="s">
        <v>317</v>
      </c>
      <c r="E31" s="197" t="s">
        <v>6</v>
      </c>
      <c r="F31" s="209">
        <f t="shared" ref="F31:F34" si="7">F32</f>
        <v>477216</v>
      </c>
      <c r="G31" s="265"/>
      <c r="H31" s="265"/>
    </row>
    <row r="32" spans="1:8" ht="36" outlineLevel="7">
      <c r="A32" s="200" t="s">
        <v>249</v>
      </c>
      <c r="B32" s="163" t="s">
        <v>503</v>
      </c>
      <c r="C32" s="163" t="s">
        <v>24</v>
      </c>
      <c r="D32" s="163" t="s">
        <v>318</v>
      </c>
      <c r="E32" s="163" t="s">
        <v>6</v>
      </c>
      <c r="F32" s="184">
        <f t="shared" si="7"/>
        <v>477216</v>
      </c>
    </row>
    <row r="33" spans="1:8" ht="39.75" customHeight="1" outlineLevel="5">
      <c r="A33" s="164" t="s">
        <v>25</v>
      </c>
      <c r="B33" s="163" t="s">
        <v>503</v>
      </c>
      <c r="C33" s="163" t="s">
        <v>24</v>
      </c>
      <c r="D33" s="163" t="s">
        <v>329</v>
      </c>
      <c r="E33" s="163" t="s">
        <v>6</v>
      </c>
      <c r="F33" s="167">
        <f t="shared" si="7"/>
        <v>477216</v>
      </c>
    </row>
    <row r="34" spans="1:8" ht="36" outlineLevel="6">
      <c r="A34" s="164" t="s">
        <v>15</v>
      </c>
      <c r="B34" s="163" t="s">
        <v>503</v>
      </c>
      <c r="C34" s="163" t="s">
        <v>24</v>
      </c>
      <c r="D34" s="163" t="s">
        <v>329</v>
      </c>
      <c r="E34" s="163" t="s">
        <v>16</v>
      </c>
      <c r="F34" s="167">
        <f t="shared" si="7"/>
        <v>477216</v>
      </c>
    </row>
    <row r="35" spans="1:8" ht="21.15" customHeight="1" outlineLevel="7">
      <c r="A35" s="164" t="s">
        <v>17</v>
      </c>
      <c r="B35" s="163" t="s">
        <v>503</v>
      </c>
      <c r="C35" s="163" t="s">
        <v>24</v>
      </c>
      <c r="D35" s="163" t="s">
        <v>329</v>
      </c>
      <c r="E35" s="163" t="s">
        <v>18</v>
      </c>
      <c r="F35" s="167">
        <v>477216</v>
      </c>
    </row>
    <row r="36" spans="1:8" s="264" customFormat="1" ht="34.799999999999997">
      <c r="A36" s="191" t="s">
        <v>27</v>
      </c>
      <c r="B36" s="192" t="s">
        <v>504</v>
      </c>
      <c r="C36" s="192" t="s">
        <v>5</v>
      </c>
      <c r="D36" s="192" t="s">
        <v>126</v>
      </c>
      <c r="E36" s="192" t="s">
        <v>6</v>
      </c>
      <c r="F36" s="215">
        <f>F37+F159+F169+F225+F327+F343+F357+F396+F459+F435+F180</f>
        <v>355159152.33000004</v>
      </c>
      <c r="G36" s="267"/>
      <c r="H36" s="267"/>
    </row>
    <row r="37" spans="1:8" s="266" customFormat="1" outlineLevel="1">
      <c r="A37" s="196" t="s">
        <v>7</v>
      </c>
      <c r="B37" s="197" t="s">
        <v>504</v>
      </c>
      <c r="C37" s="197" t="s">
        <v>8</v>
      </c>
      <c r="D37" s="197" t="s">
        <v>126</v>
      </c>
      <c r="E37" s="197" t="s">
        <v>6</v>
      </c>
      <c r="F37" s="171">
        <f t="shared" ref="F37" si="8">F38+F43+F50+F56+F66+F61</f>
        <v>100252537.01000001</v>
      </c>
      <c r="G37" s="265"/>
      <c r="H37" s="265"/>
    </row>
    <row r="38" spans="1:8" ht="36" outlineLevel="2">
      <c r="A38" s="164" t="s">
        <v>28</v>
      </c>
      <c r="B38" s="163" t="s">
        <v>504</v>
      </c>
      <c r="C38" s="163" t="s">
        <v>29</v>
      </c>
      <c r="D38" s="163" t="s">
        <v>126</v>
      </c>
      <c r="E38" s="163" t="s">
        <v>6</v>
      </c>
      <c r="F38" s="167">
        <f t="shared" ref="F38:F41" si="9">F39</f>
        <v>2681000</v>
      </c>
    </row>
    <row r="39" spans="1:8" ht="36" outlineLevel="3">
      <c r="A39" s="164" t="s">
        <v>132</v>
      </c>
      <c r="B39" s="163" t="s">
        <v>504</v>
      </c>
      <c r="C39" s="163" t="s">
        <v>29</v>
      </c>
      <c r="D39" s="163" t="s">
        <v>127</v>
      </c>
      <c r="E39" s="163" t="s">
        <v>6</v>
      </c>
      <c r="F39" s="167">
        <f t="shared" si="9"/>
        <v>2681000</v>
      </c>
    </row>
    <row r="40" spans="1:8" outlineLevel="5">
      <c r="A40" s="164" t="s">
        <v>500</v>
      </c>
      <c r="B40" s="163" t="s">
        <v>504</v>
      </c>
      <c r="C40" s="163" t="s">
        <v>29</v>
      </c>
      <c r="D40" s="163" t="s">
        <v>501</v>
      </c>
      <c r="E40" s="163" t="s">
        <v>6</v>
      </c>
      <c r="F40" s="167">
        <f t="shared" si="9"/>
        <v>2681000</v>
      </c>
    </row>
    <row r="41" spans="1:8" ht="72" outlineLevel="6">
      <c r="A41" s="164" t="s">
        <v>11</v>
      </c>
      <c r="B41" s="163" t="s">
        <v>504</v>
      </c>
      <c r="C41" s="163" t="s">
        <v>29</v>
      </c>
      <c r="D41" s="163" t="s">
        <v>501</v>
      </c>
      <c r="E41" s="163" t="s">
        <v>12</v>
      </c>
      <c r="F41" s="167">
        <f t="shared" si="9"/>
        <v>2681000</v>
      </c>
    </row>
    <row r="42" spans="1:8" ht="36" outlineLevel="7">
      <c r="A42" s="164" t="s">
        <v>13</v>
      </c>
      <c r="B42" s="163" t="s">
        <v>504</v>
      </c>
      <c r="C42" s="163" t="s">
        <v>29</v>
      </c>
      <c r="D42" s="163" t="s">
        <v>501</v>
      </c>
      <c r="E42" s="163" t="s">
        <v>14</v>
      </c>
      <c r="F42" s="167">
        <f>2846266-165266</f>
        <v>2681000</v>
      </c>
    </row>
    <row r="43" spans="1:8" ht="37.5" customHeight="1" outlineLevel="2">
      <c r="A43" s="164" t="s">
        <v>30</v>
      </c>
      <c r="B43" s="163" t="s">
        <v>504</v>
      </c>
      <c r="C43" s="163" t="s">
        <v>31</v>
      </c>
      <c r="D43" s="163" t="s">
        <v>126</v>
      </c>
      <c r="E43" s="163" t="s">
        <v>6</v>
      </c>
      <c r="F43" s="167">
        <f t="shared" ref="F43:F44" si="10">F44</f>
        <v>21826602</v>
      </c>
    </row>
    <row r="44" spans="1:8" ht="36" outlineLevel="3">
      <c r="A44" s="164" t="s">
        <v>132</v>
      </c>
      <c r="B44" s="163" t="s">
        <v>504</v>
      </c>
      <c r="C44" s="163" t="s">
        <v>31</v>
      </c>
      <c r="D44" s="163" t="s">
        <v>127</v>
      </c>
      <c r="E44" s="163" t="s">
        <v>6</v>
      </c>
      <c r="F44" s="167">
        <f t="shared" si="10"/>
        <v>21826602</v>
      </c>
    </row>
    <row r="45" spans="1:8" ht="46.5" customHeight="1" outlineLevel="5">
      <c r="A45" s="164" t="s">
        <v>498</v>
      </c>
      <c r="B45" s="163" t="s">
        <v>504</v>
      </c>
      <c r="C45" s="163" t="s">
        <v>31</v>
      </c>
      <c r="D45" s="163" t="s">
        <v>499</v>
      </c>
      <c r="E45" s="163" t="s">
        <v>6</v>
      </c>
      <c r="F45" s="167">
        <f t="shared" ref="F45" si="11">F46+F48</f>
        <v>21826602</v>
      </c>
    </row>
    <row r="46" spans="1:8" ht="72" outlineLevel="6">
      <c r="A46" s="164" t="s">
        <v>11</v>
      </c>
      <c r="B46" s="163" t="s">
        <v>504</v>
      </c>
      <c r="C46" s="163" t="s">
        <v>31</v>
      </c>
      <c r="D46" s="163" t="s">
        <v>499</v>
      </c>
      <c r="E46" s="163" t="s">
        <v>12</v>
      </c>
      <c r="F46" s="167">
        <f t="shared" ref="F46" si="12">F47</f>
        <v>21734602</v>
      </c>
    </row>
    <row r="47" spans="1:8" ht="36" outlineLevel="7">
      <c r="A47" s="164" t="s">
        <v>13</v>
      </c>
      <c r="B47" s="163" t="s">
        <v>504</v>
      </c>
      <c r="C47" s="163" t="s">
        <v>31</v>
      </c>
      <c r="D47" s="163" t="s">
        <v>499</v>
      </c>
      <c r="E47" s="163" t="s">
        <v>14</v>
      </c>
      <c r="F47" s="218">
        <f>потребность!I47+165266</f>
        <v>21734602</v>
      </c>
    </row>
    <row r="48" spans="1:8" ht="36" outlineLevel="6">
      <c r="A48" s="164" t="s">
        <v>15</v>
      </c>
      <c r="B48" s="163" t="s">
        <v>504</v>
      </c>
      <c r="C48" s="163" t="s">
        <v>31</v>
      </c>
      <c r="D48" s="163" t="s">
        <v>499</v>
      </c>
      <c r="E48" s="163" t="s">
        <v>16</v>
      </c>
      <c r="F48" s="167">
        <f t="shared" ref="F48" si="13">F49</f>
        <v>92000</v>
      </c>
    </row>
    <row r="49" spans="1:6" ht="21.15" customHeight="1" outlineLevel="7">
      <c r="A49" s="164" t="s">
        <v>17</v>
      </c>
      <c r="B49" s="163" t="s">
        <v>504</v>
      </c>
      <c r="C49" s="163" t="s">
        <v>31</v>
      </c>
      <c r="D49" s="163" t="s">
        <v>499</v>
      </c>
      <c r="E49" s="163" t="s">
        <v>18</v>
      </c>
      <c r="F49" s="218">
        <v>92000</v>
      </c>
    </row>
    <row r="50" spans="1:6" outlineLevel="7">
      <c r="A50" s="164" t="s">
        <v>260</v>
      </c>
      <c r="B50" s="163" t="s">
        <v>504</v>
      </c>
      <c r="C50" s="163" t="s">
        <v>261</v>
      </c>
      <c r="D50" s="163" t="s">
        <v>126</v>
      </c>
      <c r="E50" s="163" t="s">
        <v>6</v>
      </c>
      <c r="F50" s="184">
        <f t="shared" ref="F50" si="14">F51</f>
        <v>219244</v>
      </c>
    </row>
    <row r="51" spans="1:6" ht="36" outlineLevel="7">
      <c r="A51" s="164" t="s">
        <v>132</v>
      </c>
      <c r="B51" s="163" t="s">
        <v>504</v>
      </c>
      <c r="C51" s="163" t="s">
        <v>261</v>
      </c>
      <c r="D51" s="163" t="s">
        <v>127</v>
      </c>
      <c r="E51" s="163" t="s">
        <v>6</v>
      </c>
      <c r="F51" s="184">
        <f t="shared" ref="F51" si="15">F53</f>
        <v>219244</v>
      </c>
    </row>
    <row r="52" spans="1:6" outlineLevel="7">
      <c r="A52" s="164" t="s">
        <v>277</v>
      </c>
      <c r="B52" s="163" t="s">
        <v>504</v>
      </c>
      <c r="C52" s="163" t="s">
        <v>261</v>
      </c>
      <c r="D52" s="163" t="s">
        <v>276</v>
      </c>
      <c r="E52" s="163" t="s">
        <v>6</v>
      </c>
      <c r="F52" s="184">
        <f t="shared" ref="F52:F54" si="16">F53</f>
        <v>219244</v>
      </c>
    </row>
    <row r="53" spans="1:6" ht="95.25" customHeight="1" outlineLevel="7">
      <c r="A53" s="164" t="s">
        <v>410</v>
      </c>
      <c r="B53" s="163" t="s">
        <v>504</v>
      </c>
      <c r="C53" s="163" t="s">
        <v>261</v>
      </c>
      <c r="D53" s="163" t="s">
        <v>285</v>
      </c>
      <c r="E53" s="163" t="s">
        <v>6</v>
      </c>
      <c r="F53" s="184">
        <f t="shared" si="16"/>
        <v>219244</v>
      </c>
    </row>
    <row r="54" spans="1:6" ht="36" outlineLevel="7">
      <c r="A54" s="164" t="s">
        <v>15</v>
      </c>
      <c r="B54" s="163" t="s">
        <v>504</v>
      </c>
      <c r="C54" s="163" t="s">
        <v>261</v>
      </c>
      <c r="D54" s="163" t="s">
        <v>285</v>
      </c>
      <c r="E54" s="163" t="s">
        <v>16</v>
      </c>
      <c r="F54" s="184">
        <f t="shared" si="16"/>
        <v>219244</v>
      </c>
    </row>
    <row r="55" spans="1:6" ht="19.5" customHeight="1" outlineLevel="7">
      <c r="A55" s="164" t="s">
        <v>17</v>
      </c>
      <c r="B55" s="163" t="s">
        <v>504</v>
      </c>
      <c r="C55" s="163" t="s">
        <v>261</v>
      </c>
      <c r="D55" s="163" t="s">
        <v>285</v>
      </c>
      <c r="E55" s="163" t="s">
        <v>18</v>
      </c>
      <c r="F55" s="167">
        <v>219244</v>
      </c>
    </row>
    <row r="56" spans="1:6" ht="36.75" customHeight="1" outlineLevel="2">
      <c r="A56" s="164" t="s">
        <v>9</v>
      </c>
      <c r="B56" s="163" t="s">
        <v>504</v>
      </c>
      <c r="C56" s="163" t="s">
        <v>10</v>
      </c>
      <c r="D56" s="163" t="s">
        <v>126</v>
      </c>
      <c r="E56" s="163" t="s">
        <v>6</v>
      </c>
      <c r="F56" s="167">
        <f t="shared" ref="F56:F59" si="17">F57</f>
        <v>825175</v>
      </c>
    </row>
    <row r="57" spans="1:6" ht="36" outlineLevel="4">
      <c r="A57" s="164" t="s">
        <v>132</v>
      </c>
      <c r="B57" s="163" t="s">
        <v>504</v>
      </c>
      <c r="C57" s="163" t="s">
        <v>10</v>
      </c>
      <c r="D57" s="163" t="s">
        <v>127</v>
      </c>
      <c r="E57" s="163" t="s">
        <v>6</v>
      </c>
      <c r="F57" s="167">
        <f t="shared" si="17"/>
        <v>825175</v>
      </c>
    </row>
    <row r="58" spans="1:6" ht="36" outlineLevel="5">
      <c r="A58" s="164" t="s">
        <v>502</v>
      </c>
      <c r="B58" s="163" t="s">
        <v>504</v>
      </c>
      <c r="C58" s="163" t="s">
        <v>10</v>
      </c>
      <c r="D58" s="163" t="s">
        <v>541</v>
      </c>
      <c r="E58" s="163" t="s">
        <v>6</v>
      </c>
      <c r="F58" s="167">
        <f t="shared" si="17"/>
        <v>825175</v>
      </c>
    </row>
    <row r="59" spans="1:6" ht="72" outlineLevel="6">
      <c r="A59" s="164" t="s">
        <v>11</v>
      </c>
      <c r="B59" s="163" t="s">
        <v>504</v>
      </c>
      <c r="C59" s="163" t="s">
        <v>10</v>
      </c>
      <c r="D59" s="163" t="s">
        <v>541</v>
      </c>
      <c r="E59" s="163" t="s">
        <v>12</v>
      </c>
      <c r="F59" s="167">
        <f t="shared" si="17"/>
        <v>825175</v>
      </c>
    </row>
    <row r="60" spans="1:6" ht="36" outlineLevel="7">
      <c r="A60" s="164" t="s">
        <v>13</v>
      </c>
      <c r="B60" s="163" t="s">
        <v>504</v>
      </c>
      <c r="C60" s="163" t="s">
        <v>10</v>
      </c>
      <c r="D60" s="163" t="s">
        <v>541</v>
      </c>
      <c r="E60" s="163" t="s">
        <v>14</v>
      </c>
      <c r="F60" s="167">
        <v>825175</v>
      </c>
    </row>
    <row r="61" spans="1:6" outlineLevel="7">
      <c r="A61" s="164" t="s">
        <v>709</v>
      </c>
      <c r="B61" s="163" t="s">
        <v>504</v>
      </c>
      <c r="C61" s="163" t="s">
        <v>706</v>
      </c>
      <c r="D61" s="163" t="s">
        <v>126</v>
      </c>
      <c r="E61" s="163" t="s">
        <v>6</v>
      </c>
      <c r="F61" s="167">
        <f t="shared" ref="F61:F64" si="18">F62</f>
        <v>4623452.5900000008</v>
      </c>
    </row>
    <row r="62" spans="1:6" ht="36" outlineLevel="7">
      <c r="A62" s="164" t="s">
        <v>132</v>
      </c>
      <c r="B62" s="163" t="s">
        <v>504</v>
      </c>
      <c r="C62" s="163" t="s">
        <v>706</v>
      </c>
      <c r="D62" s="163" t="s">
        <v>127</v>
      </c>
      <c r="E62" s="163" t="s">
        <v>6</v>
      </c>
      <c r="F62" s="167">
        <f t="shared" si="18"/>
        <v>4623452.5900000008</v>
      </c>
    </row>
    <row r="63" spans="1:6" ht="36" outlineLevel="7">
      <c r="A63" s="164" t="s">
        <v>530</v>
      </c>
      <c r="B63" s="163" t="s">
        <v>504</v>
      </c>
      <c r="C63" s="163" t="s">
        <v>706</v>
      </c>
      <c r="D63" s="163" t="s">
        <v>543</v>
      </c>
      <c r="E63" s="163" t="s">
        <v>6</v>
      </c>
      <c r="F63" s="167">
        <f t="shared" si="18"/>
        <v>4623452.5900000008</v>
      </c>
    </row>
    <row r="64" spans="1:6" outlineLevel="7">
      <c r="A64" s="164" t="s">
        <v>19</v>
      </c>
      <c r="B64" s="163" t="s">
        <v>504</v>
      </c>
      <c r="C64" s="163" t="s">
        <v>706</v>
      </c>
      <c r="D64" s="163" t="s">
        <v>543</v>
      </c>
      <c r="E64" s="163" t="s">
        <v>20</v>
      </c>
      <c r="F64" s="167">
        <f t="shared" si="18"/>
        <v>4623452.5900000008</v>
      </c>
    </row>
    <row r="65" spans="1:8" outlineLevel="7">
      <c r="A65" s="164" t="s">
        <v>707</v>
      </c>
      <c r="B65" s="163" t="s">
        <v>504</v>
      </c>
      <c r="C65" s="163" t="s">
        <v>706</v>
      </c>
      <c r="D65" s="163" t="s">
        <v>543</v>
      </c>
      <c r="E65" s="163" t="s">
        <v>705</v>
      </c>
      <c r="F65" s="167">
        <f>потребность!L65-247000-26399.58-22900478.19+1393.94-72913.58</f>
        <v>4623452.5900000008</v>
      </c>
    </row>
    <row r="66" spans="1:8" outlineLevel="2">
      <c r="A66" s="164" t="s">
        <v>23</v>
      </c>
      <c r="B66" s="163" t="s">
        <v>504</v>
      </c>
      <c r="C66" s="163" t="s">
        <v>24</v>
      </c>
      <c r="D66" s="163" t="s">
        <v>126</v>
      </c>
      <c r="E66" s="163" t="s">
        <v>6</v>
      </c>
      <c r="F66" s="167">
        <f>F67+F92+F105+F97+F112</f>
        <v>70077063.420000002</v>
      </c>
    </row>
    <row r="67" spans="1:8" s="266" customFormat="1" ht="37.5" customHeight="1" outlineLevel="3">
      <c r="A67" s="196" t="s">
        <v>882</v>
      </c>
      <c r="B67" s="197" t="s">
        <v>504</v>
      </c>
      <c r="C67" s="197" t="s">
        <v>24</v>
      </c>
      <c r="D67" s="197" t="s">
        <v>128</v>
      </c>
      <c r="E67" s="197" t="s">
        <v>6</v>
      </c>
      <c r="F67" s="171">
        <f t="shared" ref="F67" si="19">F68+F75+F83</f>
        <v>23047935</v>
      </c>
      <c r="G67" s="265"/>
      <c r="H67" s="265"/>
    </row>
    <row r="68" spans="1:8" ht="39.15" customHeight="1" outlineLevel="7">
      <c r="A68" s="164" t="s">
        <v>863</v>
      </c>
      <c r="B68" s="163" t="s">
        <v>504</v>
      </c>
      <c r="C68" s="163" t="s">
        <v>24</v>
      </c>
      <c r="D68" s="163" t="s">
        <v>315</v>
      </c>
      <c r="E68" s="163" t="s">
        <v>6</v>
      </c>
      <c r="F68" s="184">
        <f t="shared" ref="F68" si="20">F69+F72</f>
        <v>795385</v>
      </c>
    </row>
    <row r="69" spans="1:8" outlineLevel="7">
      <c r="A69" s="164" t="s">
        <v>321</v>
      </c>
      <c r="B69" s="163" t="s">
        <v>504</v>
      </c>
      <c r="C69" s="163" t="s">
        <v>24</v>
      </c>
      <c r="D69" s="163" t="s">
        <v>316</v>
      </c>
      <c r="E69" s="163" t="s">
        <v>6</v>
      </c>
      <c r="F69" s="184">
        <f t="shared" ref="F69:F70" si="21">F70</f>
        <v>745385</v>
      </c>
    </row>
    <row r="70" spans="1:8" ht="36" outlineLevel="7">
      <c r="A70" s="164" t="s">
        <v>15</v>
      </c>
      <c r="B70" s="163" t="s">
        <v>504</v>
      </c>
      <c r="C70" s="163" t="s">
        <v>24</v>
      </c>
      <c r="D70" s="163" t="s">
        <v>316</v>
      </c>
      <c r="E70" s="163" t="s">
        <v>16</v>
      </c>
      <c r="F70" s="167">
        <f t="shared" si="21"/>
        <v>745385</v>
      </c>
    </row>
    <row r="71" spans="1:8" ht="21.15" customHeight="1" outlineLevel="7">
      <c r="A71" s="164" t="s">
        <v>17</v>
      </c>
      <c r="B71" s="163" t="s">
        <v>504</v>
      </c>
      <c r="C71" s="163" t="s">
        <v>24</v>
      </c>
      <c r="D71" s="163" t="s">
        <v>316</v>
      </c>
      <c r="E71" s="163" t="s">
        <v>18</v>
      </c>
      <c r="F71" s="184">
        <v>745385</v>
      </c>
    </row>
    <row r="72" spans="1:8" outlineLevel="7">
      <c r="A72" s="164" t="s">
        <v>322</v>
      </c>
      <c r="B72" s="163" t="s">
        <v>504</v>
      </c>
      <c r="C72" s="163" t="s">
        <v>24</v>
      </c>
      <c r="D72" s="163" t="s">
        <v>323</v>
      </c>
      <c r="E72" s="163" t="s">
        <v>6</v>
      </c>
      <c r="F72" s="184">
        <f t="shared" ref="F72:F73" si="22">F73</f>
        <v>50000</v>
      </c>
    </row>
    <row r="73" spans="1:8" ht="36" outlineLevel="7">
      <c r="A73" s="164" t="s">
        <v>15</v>
      </c>
      <c r="B73" s="163" t="s">
        <v>504</v>
      </c>
      <c r="C73" s="163" t="s">
        <v>24</v>
      </c>
      <c r="D73" s="163" t="s">
        <v>323</v>
      </c>
      <c r="E73" s="163" t="s">
        <v>16</v>
      </c>
      <c r="F73" s="167">
        <f t="shared" si="22"/>
        <v>50000</v>
      </c>
    </row>
    <row r="74" spans="1:8" ht="19.5" customHeight="1" outlineLevel="7">
      <c r="A74" s="164" t="s">
        <v>17</v>
      </c>
      <c r="B74" s="163" t="s">
        <v>504</v>
      </c>
      <c r="C74" s="163" t="s">
        <v>24</v>
      </c>
      <c r="D74" s="163" t="s">
        <v>323</v>
      </c>
      <c r="E74" s="163" t="s">
        <v>18</v>
      </c>
      <c r="F74" s="167">
        <v>50000</v>
      </c>
    </row>
    <row r="75" spans="1:8" ht="19.5" customHeight="1" outlineLevel="7">
      <c r="A75" s="164" t="s">
        <v>216</v>
      </c>
      <c r="B75" s="163" t="s">
        <v>504</v>
      </c>
      <c r="C75" s="163" t="s">
        <v>24</v>
      </c>
      <c r="D75" s="163" t="s">
        <v>231</v>
      </c>
      <c r="E75" s="163" t="s">
        <v>6</v>
      </c>
      <c r="F75" s="184">
        <f t="shared" ref="F75" si="23">F76</f>
        <v>20801450</v>
      </c>
    </row>
    <row r="76" spans="1:8" ht="36" outlineLevel="5">
      <c r="A76" s="164" t="s">
        <v>33</v>
      </c>
      <c r="B76" s="163" t="s">
        <v>504</v>
      </c>
      <c r="C76" s="163" t="s">
        <v>24</v>
      </c>
      <c r="D76" s="163" t="s">
        <v>130</v>
      </c>
      <c r="E76" s="163" t="s">
        <v>6</v>
      </c>
      <c r="F76" s="167">
        <f>F77+F79+F81</f>
        <v>20801450</v>
      </c>
    </row>
    <row r="77" spans="1:8" ht="72" outlineLevel="6">
      <c r="A77" s="164" t="s">
        <v>11</v>
      </c>
      <c r="B77" s="163" t="s">
        <v>504</v>
      </c>
      <c r="C77" s="163" t="s">
        <v>24</v>
      </c>
      <c r="D77" s="163" t="s">
        <v>130</v>
      </c>
      <c r="E77" s="163" t="s">
        <v>12</v>
      </c>
      <c r="F77" s="167">
        <f t="shared" ref="F77" si="24">F78</f>
        <v>11000000</v>
      </c>
    </row>
    <row r="78" spans="1:8" outlineLevel="7">
      <c r="A78" s="164" t="s">
        <v>34</v>
      </c>
      <c r="B78" s="163" t="s">
        <v>504</v>
      </c>
      <c r="C78" s="163" t="s">
        <v>24</v>
      </c>
      <c r="D78" s="163" t="s">
        <v>130</v>
      </c>
      <c r="E78" s="163" t="s">
        <v>35</v>
      </c>
      <c r="F78" s="184">
        <f>потребность!I78</f>
        <v>11000000</v>
      </c>
    </row>
    <row r="79" spans="1:8" ht="36" outlineLevel="6">
      <c r="A79" s="164" t="s">
        <v>15</v>
      </c>
      <c r="B79" s="163" t="s">
        <v>504</v>
      </c>
      <c r="C79" s="163" t="s">
        <v>24</v>
      </c>
      <c r="D79" s="163" t="s">
        <v>130</v>
      </c>
      <c r="E79" s="163" t="s">
        <v>16</v>
      </c>
      <c r="F79" s="167">
        <f t="shared" ref="F79" si="25">F80</f>
        <v>9000000</v>
      </c>
    </row>
    <row r="80" spans="1:8" ht="21.15" customHeight="1" outlineLevel="7">
      <c r="A80" s="164" t="s">
        <v>17</v>
      </c>
      <c r="B80" s="163" t="s">
        <v>504</v>
      </c>
      <c r="C80" s="163" t="s">
        <v>24</v>
      </c>
      <c r="D80" s="163" t="s">
        <v>130</v>
      </c>
      <c r="E80" s="163" t="s">
        <v>18</v>
      </c>
      <c r="F80" s="184">
        <f>потребность!I80</f>
        <v>9000000</v>
      </c>
    </row>
    <row r="81" spans="1:8" outlineLevel="6">
      <c r="A81" s="164" t="s">
        <v>19</v>
      </c>
      <c r="B81" s="163" t="s">
        <v>504</v>
      </c>
      <c r="C81" s="163" t="s">
        <v>24</v>
      </c>
      <c r="D81" s="163" t="s">
        <v>130</v>
      </c>
      <c r="E81" s="163" t="s">
        <v>20</v>
      </c>
      <c r="F81" s="167">
        <f t="shared" ref="F81" si="26">F82</f>
        <v>801450</v>
      </c>
    </row>
    <row r="82" spans="1:8" outlineLevel="7">
      <c r="A82" s="164" t="s">
        <v>21</v>
      </c>
      <c r="B82" s="163" t="s">
        <v>504</v>
      </c>
      <c r="C82" s="163" t="s">
        <v>24</v>
      </c>
      <c r="D82" s="163" t="s">
        <v>130</v>
      </c>
      <c r="E82" s="163" t="s">
        <v>22</v>
      </c>
      <c r="F82" s="218">
        <v>801450</v>
      </c>
    </row>
    <row r="83" spans="1:8" ht="17.399999999999999" customHeight="1" outlineLevel="7">
      <c r="A83" s="164" t="s">
        <v>762</v>
      </c>
      <c r="B83" s="163" t="s">
        <v>504</v>
      </c>
      <c r="C83" s="163" t="s">
        <v>24</v>
      </c>
      <c r="D83" s="163" t="s">
        <v>703</v>
      </c>
      <c r="E83" s="163" t="s">
        <v>6</v>
      </c>
      <c r="F83" s="167">
        <f t="shared" ref="F83" si="27">F84+F87</f>
        <v>1451100</v>
      </c>
    </row>
    <row r="84" spans="1:8" ht="36" hidden="1" outlineLevel="7">
      <c r="A84" s="33" t="s">
        <v>731</v>
      </c>
      <c r="B84" s="163" t="s">
        <v>504</v>
      </c>
      <c r="C84" s="163" t="s">
        <v>24</v>
      </c>
      <c r="D84" s="163" t="s">
        <v>702</v>
      </c>
      <c r="E84" s="163" t="s">
        <v>6</v>
      </c>
      <c r="F84" s="167">
        <f t="shared" ref="F84:F85" si="28">F85</f>
        <v>0</v>
      </c>
    </row>
    <row r="85" spans="1:8" ht="36" hidden="1" outlineLevel="7">
      <c r="A85" s="164" t="s">
        <v>15</v>
      </c>
      <c r="B85" s="163" t="s">
        <v>504</v>
      </c>
      <c r="C85" s="163" t="s">
        <v>24</v>
      </c>
      <c r="D85" s="163" t="s">
        <v>702</v>
      </c>
      <c r="E85" s="163" t="s">
        <v>16</v>
      </c>
      <c r="F85" s="167">
        <f t="shared" si="28"/>
        <v>0</v>
      </c>
    </row>
    <row r="86" spans="1:8" ht="36" hidden="1" outlineLevel="7">
      <c r="A86" s="164" t="s">
        <v>17</v>
      </c>
      <c r="B86" s="163" t="s">
        <v>504</v>
      </c>
      <c r="C86" s="163" t="s">
        <v>24</v>
      </c>
      <c r="D86" s="163" t="s">
        <v>702</v>
      </c>
      <c r="E86" s="163" t="s">
        <v>18</v>
      </c>
      <c r="F86" s="218">
        <v>0</v>
      </c>
    </row>
    <row r="87" spans="1:8" ht="36" outlineLevel="7">
      <c r="A87" s="164" t="s">
        <v>701</v>
      </c>
      <c r="B87" s="163" t="s">
        <v>504</v>
      </c>
      <c r="C87" s="163" t="s">
        <v>24</v>
      </c>
      <c r="D87" s="163" t="s">
        <v>700</v>
      </c>
      <c r="E87" s="163" t="s">
        <v>6</v>
      </c>
      <c r="F87" s="167">
        <f>F90+F88</f>
        <v>1451100</v>
      </c>
    </row>
    <row r="88" spans="1:8" ht="72" outlineLevel="7">
      <c r="A88" s="164" t="s">
        <v>11</v>
      </c>
      <c r="B88" s="163" t="s">
        <v>504</v>
      </c>
      <c r="C88" s="163" t="s">
        <v>24</v>
      </c>
      <c r="D88" s="163" t="s">
        <v>700</v>
      </c>
      <c r="E88" s="163" t="s">
        <v>12</v>
      </c>
      <c r="F88" s="167">
        <f>F89</f>
        <v>116000</v>
      </c>
    </row>
    <row r="89" spans="1:8" ht="36" outlineLevel="7">
      <c r="A89" s="164" t="s">
        <v>13</v>
      </c>
      <c r="B89" s="163" t="s">
        <v>504</v>
      </c>
      <c r="C89" s="163" t="s">
        <v>24</v>
      </c>
      <c r="D89" s="163" t="s">
        <v>700</v>
      </c>
      <c r="E89" s="163" t="s">
        <v>14</v>
      </c>
      <c r="F89" s="167">
        <v>116000</v>
      </c>
    </row>
    <row r="90" spans="1:8" ht="36" outlineLevel="7">
      <c r="A90" s="164" t="s">
        <v>15</v>
      </c>
      <c r="B90" s="163" t="s">
        <v>504</v>
      </c>
      <c r="C90" s="163" t="s">
        <v>24</v>
      </c>
      <c r="D90" s="163" t="s">
        <v>700</v>
      </c>
      <c r="E90" s="163" t="s">
        <v>16</v>
      </c>
      <c r="F90" s="167">
        <f t="shared" ref="F90" si="29">F91</f>
        <v>1335100</v>
      </c>
    </row>
    <row r="91" spans="1:8" ht="36" outlineLevel="7">
      <c r="A91" s="164" t="s">
        <v>17</v>
      </c>
      <c r="B91" s="163" t="s">
        <v>504</v>
      </c>
      <c r="C91" s="163" t="s">
        <v>24</v>
      </c>
      <c r="D91" s="163" t="s">
        <v>700</v>
      </c>
      <c r="E91" s="163" t="s">
        <v>18</v>
      </c>
      <c r="F91" s="218">
        <f>1451100-116000</f>
        <v>1335100</v>
      </c>
    </row>
    <row r="92" spans="1:8" s="266" customFormat="1" ht="36" outlineLevel="7">
      <c r="A92" s="196" t="s">
        <v>881</v>
      </c>
      <c r="B92" s="197" t="s">
        <v>504</v>
      </c>
      <c r="C92" s="197" t="s">
        <v>24</v>
      </c>
      <c r="D92" s="197" t="s">
        <v>131</v>
      </c>
      <c r="E92" s="197" t="s">
        <v>6</v>
      </c>
      <c r="F92" s="171">
        <f t="shared" ref="F92:F95" si="30">F93</f>
        <v>50000</v>
      </c>
      <c r="G92" s="265"/>
      <c r="H92" s="265"/>
    </row>
    <row r="93" spans="1:8" outlineLevel="7">
      <c r="A93" s="164" t="s">
        <v>324</v>
      </c>
      <c r="B93" s="163" t="s">
        <v>504</v>
      </c>
      <c r="C93" s="163" t="s">
        <v>24</v>
      </c>
      <c r="D93" s="163" t="s">
        <v>233</v>
      </c>
      <c r="E93" s="163" t="s">
        <v>6</v>
      </c>
      <c r="F93" s="167">
        <f t="shared" si="30"/>
        <v>50000</v>
      </c>
    </row>
    <row r="94" spans="1:8" ht="36" outlineLevel="7">
      <c r="A94" s="164" t="s">
        <v>325</v>
      </c>
      <c r="B94" s="163" t="s">
        <v>504</v>
      </c>
      <c r="C94" s="163" t="s">
        <v>24</v>
      </c>
      <c r="D94" s="163" t="s">
        <v>326</v>
      </c>
      <c r="E94" s="163" t="s">
        <v>6</v>
      </c>
      <c r="F94" s="167">
        <f t="shared" si="30"/>
        <v>50000</v>
      </c>
    </row>
    <row r="95" spans="1:8" ht="36" outlineLevel="7">
      <c r="A95" s="164" t="s">
        <v>15</v>
      </c>
      <c r="B95" s="163" t="s">
        <v>504</v>
      </c>
      <c r="C95" s="163" t="s">
        <v>24</v>
      </c>
      <c r="D95" s="163" t="s">
        <v>326</v>
      </c>
      <c r="E95" s="163" t="s">
        <v>16</v>
      </c>
      <c r="F95" s="167">
        <f t="shared" si="30"/>
        <v>50000</v>
      </c>
    </row>
    <row r="96" spans="1:8" ht="21.15" customHeight="1" outlineLevel="7">
      <c r="A96" s="164" t="s">
        <v>17</v>
      </c>
      <c r="B96" s="163" t="s">
        <v>504</v>
      </c>
      <c r="C96" s="163" t="s">
        <v>24</v>
      </c>
      <c r="D96" s="163" t="s">
        <v>326</v>
      </c>
      <c r="E96" s="163" t="s">
        <v>18</v>
      </c>
      <c r="F96" s="184">
        <v>50000</v>
      </c>
    </row>
    <row r="97" spans="1:8" s="266" customFormat="1" ht="38.25" customHeight="1" outlineLevel="7">
      <c r="A97" s="196" t="s">
        <v>857</v>
      </c>
      <c r="B97" s="197" t="s">
        <v>504</v>
      </c>
      <c r="C97" s="197" t="s">
        <v>24</v>
      </c>
      <c r="D97" s="197" t="s">
        <v>317</v>
      </c>
      <c r="E97" s="197" t="s">
        <v>6</v>
      </c>
      <c r="F97" s="171">
        <f>F98</f>
        <v>1336498</v>
      </c>
      <c r="G97" s="265"/>
      <c r="H97" s="265"/>
    </row>
    <row r="98" spans="1:8" ht="21.15" customHeight="1" outlineLevel="7">
      <c r="A98" s="200" t="s">
        <v>327</v>
      </c>
      <c r="B98" s="163" t="s">
        <v>504</v>
      </c>
      <c r="C98" s="163" t="s">
        <v>24</v>
      </c>
      <c r="D98" s="163" t="s">
        <v>318</v>
      </c>
      <c r="E98" s="163" t="s">
        <v>6</v>
      </c>
      <c r="F98" s="167">
        <f>F99+F102</f>
        <v>1336498</v>
      </c>
    </row>
    <row r="99" spans="1:8" ht="37.5" customHeight="1" outlineLevel="7">
      <c r="A99" s="200" t="s">
        <v>328</v>
      </c>
      <c r="B99" s="163" t="s">
        <v>504</v>
      </c>
      <c r="C99" s="163" t="s">
        <v>24</v>
      </c>
      <c r="D99" s="163" t="s">
        <v>329</v>
      </c>
      <c r="E99" s="163" t="s">
        <v>6</v>
      </c>
      <c r="F99" s="167">
        <f t="shared" ref="F99:F100" si="31">F100</f>
        <v>1292340.5</v>
      </c>
    </row>
    <row r="100" spans="1:8" ht="36" outlineLevel="7">
      <c r="A100" s="164" t="s">
        <v>15</v>
      </c>
      <c r="B100" s="163" t="s">
        <v>504</v>
      </c>
      <c r="C100" s="163" t="s">
        <v>24</v>
      </c>
      <c r="D100" s="163" t="s">
        <v>329</v>
      </c>
      <c r="E100" s="163" t="s">
        <v>16</v>
      </c>
      <c r="F100" s="167">
        <f t="shared" si="31"/>
        <v>1292340.5</v>
      </c>
    </row>
    <row r="101" spans="1:8" ht="18.75" customHeight="1" outlineLevel="7">
      <c r="A101" s="164" t="s">
        <v>17</v>
      </c>
      <c r="B101" s="163" t="s">
        <v>504</v>
      </c>
      <c r="C101" s="163" t="s">
        <v>24</v>
      </c>
      <c r="D101" s="163" t="s">
        <v>329</v>
      </c>
      <c r="E101" s="163" t="s">
        <v>18</v>
      </c>
      <c r="F101" s="184">
        <f>потребность!I99</f>
        <v>1292340.5</v>
      </c>
    </row>
    <row r="102" spans="1:8" ht="36" outlineLevel="7">
      <c r="A102" s="200" t="s">
        <v>330</v>
      </c>
      <c r="B102" s="163" t="s">
        <v>504</v>
      </c>
      <c r="C102" s="163" t="s">
        <v>24</v>
      </c>
      <c r="D102" s="163" t="s">
        <v>319</v>
      </c>
      <c r="E102" s="163" t="s">
        <v>6</v>
      </c>
      <c r="F102" s="167">
        <f t="shared" ref="F102:F103" si="32">F103</f>
        <v>44157.5</v>
      </c>
    </row>
    <row r="103" spans="1:8" ht="36" outlineLevel="7">
      <c r="A103" s="164" t="s">
        <v>15</v>
      </c>
      <c r="B103" s="163" t="s">
        <v>504</v>
      </c>
      <c r="C103" s="163" t="s">
        <v>24</v>
      </c>
      <c r="D103" s="163" t="s">
        <v>319</v>
      </c>
      <c r="E103" s="163" t="s">
        <v>16</v>
      </c>
      <c r="F103" s="167">
        <f t="shared" si="32"/>
        <v>44157.5</v>
      </c>
    </row>
    <row r="104" spans="1:8" ht="19.5" customHeight="1" outlineLevel="7">
      <c r="A104" s="164" t="s">
        <v>17</v>
      </c>
      <c r="B104" s="163" t="s">
        <v>504</v>
      </c>
      <c r="C104" s="163" t="s">
        <v>24</v>
      </c>
      <c r="D104" s="163" t="s">
        <v>319</v>
      </c>
      <c r="E104" s="163" t="s">
        <v>18</v>
      </c>
      <c r="F104" s="167">
        <v>44157.5</v>
      </c>
    </row>
    <row r="105" spans="1:8" s="266" customFormat="1" ht="54" outlineLevel="7">
      <c r="A105" s="196" t="s">
        <v>880</v>
      </c>
      <c r="B105" s="197" t="s">
        <v>504</v>
      </c>
      <c r="C105" s="197" t="s">
        <v>24</v>
      </c>
      <c r="D105" s="197" t="s">
        <v>331</v>
      </c>
      <c r="E105" s="197" t="s">
        <v>6</v>
      </c>
      <c r="F105" s="171">
        <f t="shared" ref="F105:F106" si="33">F106</f>
        <v>2600000</v>
      </c>
      <c r="G105" s="265"/>
      <c r="H105" s="265"/>
    </row>
    <row r="106" spans="1:8" ht="36" outlineLevel="7">
      <c r="A106" s="164" t="s">
        <v>215</v>
      </c>
      <c r="B106" s="163" t="s">
        <v>504</v>
      </c>
      <c r="C106" s="163" t="s">
        <v>24</v>
      </c>
      <c r="D106" s="163" t="s">
        <v>332</v>
      </c>
      <c r="E106" s="163" t="s">
        <v>6</v>
      </c>
      <c r="F106" s="167">
        <f t="shared" si="33"/>
        <v>2600000</v>
      </c>
    </row>
    <row r="107" spans="1:8" ht="54" outlineLevel="5">
      <c r="A107" s="164" t="s">
        <v>32</v>
      </c>
      <c r="B107" s="163" t="s">
        <v>504</v>
      </c>
      <c r="C107" s="163" t="s">
        <v>24</v>
      </c>
      <c r="D107" s="163" t="s">
        <v>333</v>
      </c>
      <c r="E107" s="163" t="s">
        <v>6</v>
      </c>
      <c r="F107" s="167">
        <f t="shared" ref="F107" si="34">F108+F110</f>
        <v>2600000</v>
      </c>
    </row>
    <row r="108" spans="1:8" ht="36" outlineLevel="6">
      <c r="A108" s="164" t="s">
        <v>15</v>
      </c>
      <c r="B108" s="163" t="s">
        <v>504</v>
      </c>
      <c r="C108" s="163" t="s">
        <v>24</v>
      </c>
      <c r="D108" s="163" t="s">
        <v>333</v>
      </c>
      <c r="E108" s="163" t="s">
        <v>16</v>
      </c>
      <c r="F108" s="167">
        <f t="shared" ref="F108" si="35">F109</f>
        <v>2460000</v>
      </c>
    </row>
    <row r="109" spans="1:8" ht="20.25" customHeight="1" outlineLevel="7">
      <c r="A109" s="164" t="s">
        <v>17</v>
      </c>
      <c r="B109" s="163" t="s">
        <v>504</v>
      </c>
      <c r="C109" s="163" t="s">
        <v>24</v>
      </c>
      <c r="D109" s="163" t="s">
        <v>333</v>
      </c>
      <c r="E109" s="163" t="s">
        <v>18</v>
      </c>
      <c r="F109" s="167">
        <f>2460000</f>
        <v>2460000</v>
      </c>
    </row>
    <row r="110" spans="1:8" outlineLevel="6">
      <c r="A110" s="164" t="s">
        <v>19</v>
      </c>
      <c r="B110" s="163" t="s">
        <v>504</v>
      </c>
      <c r="C110" s="163" t="s">
        <v>24</v>
      </c>
      <c r="D110" s="163" t="s">
        <v>333</v>
      </c>
      <c r="E110" s="163" t="s">
        <v>20</v>
      </c>
      <c r="F110" s="167">
        <f>F111</f>
        <v>140000</v>
      </c>
    </row>
    <row r="111" spans="1:8" outlineLevel="7">
      <c r="A111" s="164" t="s">
        <v>21</v>
      </c>
      <c r="B111" s="163" t="s">
        <v>504</v>
      </c>
      <c r="C111" s="163" t="s">
        <v>24</v>
      </c>
      <c r="D111" s="163" t="s">
        <v>333</v>
      </c>
      <c r="E111" s="163" t="s">
        <v>22</v>
      </c>
      <c r="F111" s="184">
        <v>140000</v>
      </c>
    </row>
    <row r="112" spans="1:8" ht="36" outlineLevel="3">
      <c r="A112" s="164" t="s">
        <v>132</v>
      </c>
      <c r="B112" s="163" t="s">
        <v>504</v>
      </c>
      <c r="C112" s="163" t="s">
        <v>24</v>
      </c>
      <c r="D112" s="163" t="s">
        <v>127</v>
      </c>
      <c r="E112" s="163" t="s">
        <v>6</v>
      </c>
      <c r="F112" s="167">
        <f>F130+F113+F127+F118</f>
        <v>43042630.420000002</v>
      </c>
    </row>
    <row r="113" spans="1:6" ht="48.15" customHeight="1" outlineLevel="5">
      <c r="A113" s="164" t="s">
        <v>498</v>
      </c>
      <c r="B113" s="163" t="s">
        <v>504</v>
      </c>
      <c r="C113" s="163" t="s">
        <v>24</v>
      </c>
      <c r="D113" s="163" t="s">
        <v>499</v>
      </c>
      <c r="E113" s="163" t="s">
        <v>6</v>
      </c>
      <c r="F113" s="167">
        <f>F114+F116</f>
        <v>35005140.490000002</v>
      </c>
    </row>
    <row r="114" spans="1:6" ht="72" outlineLevel="6">
      <c r="A114" s="164" t="s">
        <v>11</v>
      </c>
      <c r="B114" s="163" t="s">
        <v>504</v>
      </c>
      <c r="C114" s="163" t="s">
        <v>24</v>
      </c>
      <c r="D114" s="163" t="s">
        <v>499</v>
      </c>
      <c r="E114" s="163" t="s">
        <v>12</v>
      </c>
      <c r="F114" s="167">
        <f t="shared" ref="F114" si="36">F115</f>
        <v>34985140.490000002</v>
      </c>
    </row>
    <row r="115" spans="1:6" ht="36" outlineLevel="7">
      <c r="A115" s="164" t="s">
        <v>13</v>
      </c>
      <c r="B115" s="163" t="s">
        <v>504</v>
      </c>
      <c r="C115" s="163" t="s">
        <v>24</v>
      </c>
      <c r="D115" s="163" t="s">
        <v>499</v>
      </c>
      <c r="E115" s="163" t="s">
        <v>14</v>
      </c>
      <c r="F115" s="167">
        <f>потребность!I113</f>
        <v>34985140.490000002</v>
      </c>
    </row>
    <row r="116" spans="1:6" ht="36" outlineLevel="7">
      <c r="A116" s="164" t="s">
        <v>15</v>
      </c>
      <c r="B116" s="163" t="s">
        <v>504</v>
      </c>
      <c r="C116" s="163" t="s">
        <v>24</v>
      </c>
      <c r="D116" s="163" t="s">
        <v>499</v>
      </c>
      <c r="E116" s="163" t="s">
        <v>16</v>
      </c>
      <c r="F116" s="184">
        <f t="shared" ref="F116" si="37">F117</f>
        <v>20000</v>
      </c>
    </row>
    <row r="117" spans="1:6" ht="18.75" customHeight="1" outlineLevel="7">
      <c r="A117" s="164" t="s">
        <v>17</v>
      </c>
      <c r="B117" s="163" t="s">
        <v>504</v>
      </c>
      <c r="C117" s="163" t="s">
        <v>24</v>
      </c>
      <c r="D117" s="163" t="s">
        <v>499</v>
      </c>
      <c r="E117" s="163" t="s">
        <v>18</v>
      </c>
      <c r="F117" s="167">
        <v>20000</v>
      </c>
    </row>
    <row r="118" spans="1:6" ht="39.15" customHeight="1" outlineLevel="7">
      <c r="A118" s="164" t="s">
        <v>699</v>
      </c>
      <c r="B118" s="163" t="s">
        <v>504</v>
      </c>
      <c r="C118" s="163" t="s">
        <v>24</v>
      </c>
      <c r="D118" s="163" t="s">
        <v>697</v>
      </c>
      <c r="E118" s="163" t="s">
        <v>6</v>
      </c>
      <c r="F118" s="167">
        <f t="shared" ref="F118" si="38">F119</f>
        <v>460000</v>
      </c>
    </row>
    <row r="119" spans="1:6" ht="18.75" customHeight="1" outlineLevel="7">
      <c r="A119" s="164" t="s">
        <v>19</v>
      </c>
      <c r="B119" s="163" t="s">
        <v>504</v>
      </c>
      <c r="C119" s="163" t="s">
        <v>24</v>
      </c>
      <c r="D119" s="163" t="s">
        <v>697</v>
      </c>
      <c r="E119" s="163" t="s">
        <v>20</v>
      </c>
      <c r="F119" s="167">
        <f t="shared" ref="F119" si="39">F120+F121</f>
        <v>460000</v>
      </c>
    </row>
    <row r="120" spans="1:6" ht="0.75" customHeight="1" outlineLevel="7">
      <c r="A120" s="164" t="s">
        <v>729</v>
      </c>
      <c r="B120" s="163" t="s">
        <v>504</v>
      </c>
      <c r="C120" s="163" t="s">
        <v>24</v>
      </c>
      <c r="D120" s="163" t="s">
        <v>697</v>
      </c>
      <c r="E120" s="205" t="s">
        <v>730</v>
      </c>
      <c r="F120" s="167">
        <v>0</v>
      </c>
    </row>
    <row r="121" spans="1:6" ht="19.5" customHeight="1" outlineLevel="7">
      <c r="A121" s="164" t="s">
        <v>698</v>
      </c>
      <c r="B121" s="163" t="s">
        <v>504</v>
      </c>
      <c r="C121" s="163" t="s">
        <v>24</v>
      </c>
      <c r="D121" s="163" t="s">
        <v>697</v>
      </c>
      <c r="E121" s="163" t="s">
        <v>22</v>
      </c>
      <c r="F121" s="167">
        <f>150000+310000</f>
        <v>460000</v>
      </c>
    </row>
    <row r="122" spans="1:6" ht="36" hidden="1" customHeight="1" outlineLevel="7">
      <c r="A122" s="33" t="s">
        <v>611</v>
      </c>
      <c r="B122" s="163" t="s">
        <v>504</v>
      </c>
      <c r="C122" s="163" t="s">
        <v>24</v>
      </c>
      <c r="D122" s="163" t="s">
        <v>612</v>
      </c>
      <c r="E122" s="163" t="s">
        <v>6</v>
      </c>
      <c r="F122" s="167">
        <f t="shared" ref="F122:F123" si="40">F123</f>
        <v>0</v>
      </c>
    </row>
    <row r="123" spans="1:6" ht="18.75" hidden="1" customHeight="1" outlineLevel="7">
      <c r="A123" s="164" t="s">
        <v>15</v>
      </c>
      <c r="B123" s="163" t="s">
        <v>504</v>
      </c>
      <c r="C123" s="163" t="s">
        <v>24</v>
      </c>
      <c r="D123" s="163" t="s">
        <v>612</v>
      </c>
      <c r="E123" s="163" t="s">
        <v>16</v>
      </c>
      <c r="F123" s="167">
        <f t="shared" si="40"/>
        <v>0</v>
      </c>
    </row>
    <row r="124" spans="1:6" ht="18.75" hidden="1" customHeight="1" outlineLevel="7">
      <c r="A124" s="164" t="s">
        <v>17</v>
      </c>
      <c r="B124" s="163" t="s">
        <v>504</v>
      </c>
      <c r="C124" s="163" t="s">
        <v>24</v>
      </c>
      <c r="D124" s="163" t="s">
        <v>612</v>
      </c>
      <c r="E124" s="163" t="s">
        <v>18</v>
      </c>
      <c r="F124" s="167">
        <v>0</v>
      </c>
    </row>
    <row r="125" spans="1:6" ht="18.75" hidden="1" customHeight="1" outlineLevel="7">
      <c r="A125" s="164" t="s">
        <v>90</v>
      </c>
      <c r="B125" s="163" t="s">
        <v>504</v>
      </c>
      <c r="C125" s="163" t="s">
        <v>24</v>
      </c>
      <c r="D125" s="163" t="s">
        <v>612</v>
      </c>
      <c r="E125" s="163" t="s">
        <v>91</v>
      </c>
      <c r="F125" s="167">
        <f t="shared" ref="F125" si="41">F126</f>
        <v>0</v>
      </c>
    </row>
    <row r="126" spans="1:6" ht="38.25" hidden="1" customHeight="1" outlineLevel="7">
      <c r="A126" s="164" t="s">
        <v>97</v>
      </c>
      <c r="B126" s="163" t="s">
        <v>504</v>
      </c>
      <c r="C126" s="163" t="s">
        <v>24</v>
      </c>
      <c r="D126" s="163" t="s">
        <v>612</v>
      </c>
      <c r="E126" s="163" t="s">
        <v>98</v>
      </c>
      <c r="F126" s="167">
        <v>0</v>
      </c>
    </row>
    <row r="127" spans="1:6" ht="19.5" customHeight="1" outlineLevel="7">
      <c r="A127" s="164" t="s">
        <v>507</v>
      </c>
      <c r="B127" s="163" t="s">
        <v>504</v>
      </c>
      <c r="C127" s="163" t="s">
        <v>24</v>
      </c>
      <c r="D127" s="163" t="s">
        <v>506</v>
      </c>
      <c r="E127" s="163" t="s">
        <v>6</v>
      </c>
      <c r="F127" s="184">
        <f t="shared" ref="F127:F128" si="42">F128</f>
        <v>200000</v>
      </c>
    </row>
    <row r="128" spans="1:6" ht="36" outlineLevel="7">
      <c r="A128" s="164" t="s">
        <v>15</v>
      </c>
      <c r="B128" s="163" t="s">
        <v>504</v>
      </c>
      <c r="C128" s="163" t="s">
        <v>24</v>
      </c>
      <c r="D128" s="163" t="s">
        <v>506</v>
      </c>
      <c r="E128" s="163" t="s">
        <v>16</v>
      </c>
      <c r="F128" s="184">
        <f t="shared" si="42"/>
        <v>200000</v>
      </c>
    </row>
    <row r="129" spans="1:6" ht="20.25" customHeight="1" outlineLevel="7">
      <c r="A129" s="164" t="s">
        <v>17</v>
      </c>
      <c r="B129" s="163" t="s">
        <v>504</v>
      </c>
      <c r="C129" s="163" t="s">
        <v>24</v>
      </c>
      <c r="D129" s="163" t="s">
        <v>506</v>
      </c>
      <c r="E129" s="163" t="s">
        <v>18</v>
      </c>
      <c r="F129" s="167">
        <v>200000</v>
      </c>
    </row>
    <row r="130" spans="1:6" outlineLevel="3">
      <c r="A130" s="164" t="s">
        <v>277</v>
      </c>
      <c r="B130" s="163" t="s">
        <v>504</v>
      </c>
      <c r="C130" s="163" t="s">
        <v>24</v>
      </c>
      <c r="D130" s="163" t="s">
        <v>276</v>
      </c>
      <c r="E130" s="163" t="s">
        <v>6</v>
      </c>
      <c r="F130" s="167">
        <f>F154+F131+F139+F144+F149+F136</f>
        <v>7377489.9299999997</v>
      </c>
    </row>
    <row r="131" spans="1:6" ht="61.5" customHeight="1" outlineLevel="3">
      <c r="A131" s="187" t="s">
        <v>438</v>
      </c>
      <c r="B131" s="163" t="s">
        <v>504</v>
      </c>
      <c r="C131" s="163" t="s">
        <v>24</v>
      </c>
      <c r="D131" s="163" t="s">
        <v>278</v>
      </c>
      <c r="E131" s="163" t="s">
        <v>6</v>
      </c>
      <c r="F131" s="167">
        <f t="shared" ref="F131" si="43">F132+F134</f>
        <v>1442603</v>
      </c>
    </row>
    <row r="132" spans="1:6" ht="72" outlineLevel="3">
      <c r="A132" s="164" t="s">
        <v>11</v>
      </c>
      <c r="B132" s="163" t="s">
        <v>504</v>
      </c>
      <c r="C132" s="163" t="s">
        <v>24</v>
      </c>
      <c r="D132" s="163" t="s">
        <v>278</v>
      </c>
      <c r="E132" s="163" t="s">
        <v>12</v>
      </c>
      <c r="F132" s="167">
        <f t="shared" ref="F132" si="44">F133</f>
        <v>1427603</v>
      </c>
    </row>
    <row r="133" spans="1:6" ht="36" outlineLevel="3">
      <c r="A133" s="164" t="s">
        <v>13</v>
      </c>
      <c r="B133" s="163" t="s">
        <v>504</v>
      </c>
      <c r="C133" s="163" t="s">
        <v>24</v>
      </c>
      <c r="D133" s="163" t="s">
        <v>278</v>
      </c>
      <c r="E133" s="163" t="s">
        <v>14</v>
      </c>
      <c r="F133" s="167">
        <f>1399316+28287</f>
        <v>1427603</v>
      </c>
    </row>
    <row r="134" spans="1:6" ht="41.25" customHeight="1" outlineLevel="7">
      <c r="A134" s="164" t="s">
        <v>15</v>
      </c>
      <c r="B134" s="163" t="s">
        <v>504</v>
      </c>
      <c r="C134" s="163" t="s">
        <v>24</v>
      </c>
      <c r="D134" s="163" t="s">
        <v>278</v>
      </c>
      <c r="E134" s="163" t="s">
        <v>16</v>
      </c>
      <c r="F134" s="167">
        <f t="shared" ref="F134" si="45">F135</f>
        <v>15000</v>
      </c>
    </row>
    <row r="135" spans="1:6" ht="36" outlineLevel="7">
      <c r="A135" s="164" t="s">
        <v>17</v>
      </c>
      <c r="B135" s="163" t="s">
        <v>504</v>
      </c>
      <c r="C135" s="163" t="s">
        <v>24</v>
      </c>
      <c r="D135" s="163" t="s">
        <v>278</v>
      </c>
      <c r="E135" s="163" t="s">
        <v>18</v>
      </c>
      <c r="F135" s="167">
        <v>15000</v>
      </c>
    </row>
    <row r="136" spans="1:6" ht="72" outlineLevel="7">
      <c r="A136" s="164" t="s">
        <v>736</v>
      </c>
      <c r="B136" s="163" t="s">
        <v>504</v>
      </c>
      <c r="C136" s="163" t="s">
        <v>24</v>
      </c>
      <c r="D136" s="163" t="s">
        <v>735</v>
      </c>
      <c r="E136" s="163" t="s">
        <v>6</v>
      </c>
      <c r="F136" s="167">
        <f t="shared" ref="F136:F137" si="46">F137</f>
        <v>353579</v>
      </c>
    </row>
    <row r="137" spans="1:6" ht="36" outlineLevel="7">
      <c r="A137" s="164" t="s">
        <v>13</v>
      </c>
      <c r="B137" s="163" t="s">
        <v>504</v>
      </c>
      <c r="C137" s="163" t="s">
        <v>24</v>
      </c>
      <c r="D137" s="163" t="s">
        <v>735</v>
      </c>
      <c r="E137" s="163" t="s">
        <v>12</v>
      </c>
      <c r="F137" s="167">
        <f t="shared" si="46"/>
        <v>353579</v>
      </c>
    </row>
    <row r="138" spans="1:6" ht="41.4" customHeight="1" outlineLevel="7">
      <c r="A138" s="164" t="s">
        <v>13</v>
      </c>
      <c r="B138" s="163" t="s">
        <v>504</v>
      </c>
      <c r="C138" s="163" t="s">
        <v>24</v>
      </c>
      <c r="D138" s="163" t="s">
        <v>735</v>
      </c>
      <c r="E138" s="163" t="s">
        <v>14</v>
      </c>
      <c r="F138" s="167">
        <v>353579</v>
      </c>
    </row>
    <row r="139" spans="1:6" ht="24.75" customHeight="1" outlineLevel="7">
      <c r="A139" s="187" t="s">
        <v>584</v>
      </c>
      <c r="B139" s="163" t="s">
        <v>504</v>
      </c>
      <c r="C139" s="163" t="s">
        <v>24</v>
      </c>
      <c r="D139" s="163" t="s">
        <v>591</v>
      </c>
      <c r="E139" s="163" t="s">
        <v>6</v>
      </c>
      <c r="F139" s="167">
        <f t="shared" ref="F139" si="47">F140+F142</f>
        <v>2096028</v>
      </c>
    </row>
    <row r="140" spans="1:6" ht="39.75" customHeight="1" outlineLevel="7">
      <c r="A140" s="164" t="s">
        <v>11</v>
      </c>
      <c r="B140" s="163" t="s">
        <v>504</v>
      </c>
      <c r="C140" s="163" t="s">
        <v>24</v>
      </c>
      <c r="D140" s="163" t="s">
        <v>591</v>
      </c>
      <c r="E140" s="163" t="s">
        <v>12</v>
      </c>
      <c r="F140" s="167">
        <f t="shared" ref="F140" si="48">F141</f>
        <v>2081028</v>
      </c>
    </row>
    <row r="141" spans="1:6" ht="39.75" customHeight="1" outlineLevel="7">
      <c r="A141" s="164" t="s">
        <v>13</v>
      </c>
      <c r="B141" s="163" t="s">
        <v>504</v>
      </c>
      <c r="C141" s="163" t="s">
        <v>24</v>
      </c>
      <c r="D141" s="163" t="s">
        <v>591</v>
      </c>
      <c r="E141" s="163" t="s">
        <v>14</v>
      </c>
      <c r="F141" s="167">
        <v>2081028</v>
      </c>
    </row>
    <row r="142" spans="1:6" ht="36" outlineLevel="7">
      <c r="A142" s="164" t="s">
        <v>15</v>
      </c>
      <c r="B142" s="163" t="s">
        <v>504</v>
      </c>
      <c r="C142" s="163" t="s">
        <v>24</v>
      </c>
      <c r="D142" s="163" t="s">
        <v>591</v>
      </c>
      <c r="E142" s="163" t="s">
        <v>16</v>
      </c>
      <c r="F142" s="167">
        <f t="shared" ref="F142" si="49">F143</f>
        <v>15000</v>
      </c>
    </row>
    <row r="143" spans="1:6" ht="36" outlineLevel="7">
      <c r="A143" s="164" t="s">
        <v>17</v>
      </c>
      <c r="B143" s="163" t="s">
        <v>504</v>
      </c>
      <c r="C143" s="163" t="s">
        <v>24</v>
      </c>
      <c r="D143" s="163" t="s">
        <v>591</v>
      </c>
      <c r="E143" s="163" t="s">
        <v>18</v>
      </c>
      <c r="F143" s="167">
        <v>15000</v>
      </c>
    </row>
    <row r="144" spans="1:6" ht="59.25" customHeight="1" outlineLevel="7">
      <c r="A144" s="187" t="s">
        <v>382</v>
      </c>
      <c r="B144" s="163" t="s">
        <v>504</v>
      </c>
      <c r="C144" s="163" t="s">
        <v>24</v>
      </c>
      <c r="D144" s="163" t="s">
        <v>279</v>
      </c>
      <c r="E144" s="163" t="s">
        <v>6</v>
      </c>
      <c r="F144" s="167">
        <f t="shared" ref="F144" si="50">F145+F147</f>
        <v>830909</v>
      </c>
    </row>
    <row r="145" spans="1:6" ht="72" outlineLevel="7">
      <c r="A145" s="164" t="s">
        <v>11</v>
      </c>
      <c r="B145" s="163" t="s">
        <v>504</v>
      </c>
      <c r="C145" s="163" t="s">
        <v>24</v>
      </c>
      <c r="D145" s="163" t="s">
        <v>279</v>
      </c>
      <c r="E145" s="163" t="s">
        <v>12</v>
      </c>
      <c r="F145" s="167">
        <f t="shared" ref="F145" si="51">F146</f>
        <v>785909</v>
      </c>
    </row>
    <row r="146" spans="1:6" ht="32.549999999999997" customHeight="1" outlineLevel="7">
      <c r="A146" s="164" t="s">
        <v>13</v>
      </c>
      <c r="B146" s="163" t="s">
        <v>504</v>
      </c>
      <c r="C146" s="163" t="s">
        <v>24</v>
      </c>
      <c r="D146" s="163" t="s">
        <v>279</v>
      </c>
      <c r="E146" s="163" t="s">
        <v>14</v>
      </c>
      <c r="F146" s="218">
        <v>785909</v>
      </c>
    </row>
    <row r="147" spans="1:6" ht="45" customHeight="1" outlineLevel="7">
      <c r="A147" s="164" t="s">
        <v>15</v>
      </c>
      <c r="B147" s="163" t="s">
        <v>504</v>
      </c>
      <c r="C147" s="163" t="s">
        <v>24</v>
      </c>
      <c r="D147" s="163" t="s">
        <v>279</v>
      </c>
      <c r="E147" s="163" t="s">
        <v>16</v>
      </c>
      <c r="F147" s="167">
        <f t="shared" ref="F147" si="52">F148</f>
        <v>45000</v>
      </c>
    </row>
    <row r="148" spans="1:6" ht="36" outlineLevel="7">
      <c r="A148" s="164" t="s">
        <v>17</v>
      </c>
      <c r="B148" s="163" t="s">
        <v>504</v>
      </c>
      <c r="C148" s="163" t="s">
        <v>24</v>
      </c>
      <c r="D148" s="163" t="s">
        <v>279</v>
      </c>
      <c r="E148" s="163" t="s">
        <v>18</v>
      </c>
      <c r="F148" s="167">
        <v>45000</v>
      </c>
    </row>
    <row r="149" spans="1:6" ht="46.5" customHeight="1" outlineLevel="7">
      <c r="A149" s="164" t="s">
        <v>406</v>
      </c>
      <c r="B149" s="163" t="s">
        <v>504</v>
      </c>
      <c r="C149" s="163" t="s">
        <v>24</v>
      </c>
      <c r="D149" s="163" t="s">
        <v>407</v>
      </c>
      <c r="E149" s="163" t="s">
        <v>6</v>
      </c>
      <c r="F149" s="167">
        <f>F150+F152</f>
        <v>1950219</v>
      </c>
    </row>
    <row r="150" spans="1:6" ht="72" outlineLevel="7">
      <c r="A150" s="164" t="s">
        <v>11</v>
      </c>
      <c r="B150" s="163" t="s">
        <v>504</v>
      </c>
      <c r="C150" s="163" t="s">
        <v>24</v>
      </c>
      <c r="D150" s="163" t="s">
        <v>407</v>
      </c>
      <c r="E150" s="163" t="s">
        <v>12</v>
      </c>
      <c r="F150" s="167">
        <f>F151</f>
        <v>1792619</v>
      </c>
    </row>
    <row r="151" spans="1:6" ht="21.15" customHeight="1" outlineLevel="7">
      <c r="A151" s="164" t="s">
        <v>13</v>
      </c>
      <c r="B151" s="163" t="s">
        <v>504</v>
      </c>
      <c r="C151" s="163" t="s">
        <v>24</v>
      </c>
      <c r="D151" s="163" t="s">
        <v>407</v>
      </c>
      <c r="E151" s="163" t="s">
        <v>14</v>
      </c>
      <c r="F151" s="167">
        <v>1792619</v>
      </c>
    </row>
    <row r="152" spans="1:6" ht="38.25" customHeight="1" outlineLevel="7">
      <c r="A152" s="164" t="s">
        <v>15</v>
      </c>
      <c r="B152" s="163" t="s">
        <v>504</v>
      </c>
      <c r="C152" s="163" t="s">
        <v>24</v>
      </c>
      <c r="D152" s="163" t="s">
        <v>407</v>
      </c>
      <c r="E152" s="163" t="s">
        <v>16</v>
      </c>
      <c r="F152" s="167">
        <f>F153</f>
        <v>157600</v>
      </c>
    </row>
    <row r="153" spans="1:6" ht="36" outlineLevel="7">
      <c r="A153" s="164" t="s">
        <v>17</v>
      </c>
      <c r="B153" s="163" t="s">
        <v>504</v>
      </c>
      <c r="C153" s="163" t="s">
        <v>24</v>
      </c>
      <c r="D153" s="163" t="s">
        <v>407</v>
      </c>
      <c r="E153" s="163" t="s">
        <v>18</v>
      </c>
      <c r="F153" s="167">
        <v>157600</v>
      </c>
    </row>
    <row r="154" spans="1:6" ht="101.25" customHeight="1" outlineLevel="7">
      <c r="A154" s="187" t="s">
        <v>667</v>
      </c>
      <c r="B154" s="163" t="s">
        <v>504</v>
      </c>
      <c r="C154" s="163" t="s">
        <v>24</v>
      </c>
      <c r="D154" s="163" t="s">
        <v>295</v>
      </c>
      <c r="E154" s="163" t="s">
        <v>6</v>
      </c>
      <c r="F154" s="167">
        <f>F155+F157</f>
        <v>704151.93</v>
      </c>
    </row>
    <row r="155" spans="1:6" ht="72" outlineLevel="7">
      <c r="A155" s="164" t="s">
        <v>11</v>
      </c>
      <c r="B155" s="163" t="s">
        <v>504</v>
      </c>
      <c r="C155" s="163" t="s">
        <v>24</v>
      </c>
      <c r="D155" s="163" t="s">
        <v>295</v>
      </c>
      <c r="E155" s="163" t="s">
        <v>12</v>
      </c>
      <c r="F155" s="167">
        <f t="shared" ref="F155" si="53">F156</f>
        <v>644151.93000000005</v>
      </c>
    </row>
    <row r="156" spans="1:6" ht="19.5" customHeight="1" outlineLevel="7">
      <c r="A156" s="164" t="s">
        <v>13</v>
      </c>
      <c r="B156" s="163" t="s">
        <v>504</v>
      </c>
      <c r="C156" s="163" t="s">
        <v>24</v>
      </c>
      <c r="D156" s="163" t="s">
        <v>295</v>
      </c>
      <c r="E156" s="163" t="s">
        <v>14</v>
      </c>
      <c r="F156" s="167">
        <v>644151.93000000005</v>
      </c>
    </row>
    <row r="157" spans="1:6" ht="46.5" customHeight="1" outlineLevel="3">
      <c r="A157" s="164" t="s">
        <v>15</v>
      </c>
      <c r="B157" s="163" t="s">
        <v>504</v>
      </c>
      <c r="C157" s="163" t="s">
        <v>24</v>
      </c>
      <c r="D157" s="163" t="s">
        <v>295</v>
      </c>
      <c r="E157" s="163" t="s">
        <v>16</v>
      </c>
      <c r="F157" s="167">
        <f>F158</f>
        <v>60000</v>
      </c>
    </row>
    <row r="158" spans="1:6" ht="36" outlineLevel="3">
      <c r="A158" s="164" t="s">
        <v>17</v>
      </c>
      <c r="B158" s="163" t="s">
        <v>504</v>
      </c>
      <c r="C158" s="163" t="s">
        <v>24</v>
      </c>
      <c r="D158" s="163" t="s">
        <v>295</v>
      </c>
      <c r="E158" s="163" t="s">
        <v>18</v>
      </c>
      <c r="F158" s="167">
        <v>60000</v>
      </c>
    </row>
    <row r="159" spans="1:6" ht="23.25" customHeight="1" outlineLevel="3">
      <c r="A159" s="196" t="s">
        <v>592</v>
      </c>
      <c r="B159" s="197" t="s">
        <v>504</v>
      </c>
      <c r="C159" s="197" t="s">
        <v>26</v>
      </c>
      <c r="D159" s="197" t="s">
        <v>126</v>
      </c>
      <c r="E159" s="197" t="s">
        <v>6</v>
      </c>
      <c r="F159" s="167">
        <f t="shared" ref="F159:F164" si="54">F160</f>
        <v>1626656</v>
      </c>
    </row>
    <row r="160" spans="1:6" ht="24" customHeight="1" outlineLevel="3">
      <c r="A160" s="164" t="s">
        <v>593</v>
      </c>
      <c r="B160" s="163" t="s">
        <v>504</v>
      </c>
      <c r="C160" s="163" t="s">
        <v>594</v>
      </c>
      <c r="D160" s="163" t="s">
        <v>126</v>
      </c>
      <c r="E160" s="163" t="s">
        <v>6</v>
      </c>
      <c r="F160" s="167">
        <f t="shared" si="54"/>
        <v>1626656</v>
      </c>
    </row>
    <row r="161" spans="1:8" ht="36" outlineLevel="3">
      <c r="A161" s="164" t="s">
        <v>132</v>
      </c>
      <c r="B161" s="163" t="s">
        <v>504</v>
      </c>
      <c r="C161" s="163" t="s">
        <v>594</v>
      </c>
      <c r="D161" s="163" t="s">
        <v>127</v>
      </c>
      <c r="E161" s="163" t="s">
        <v>6</v>
      </c>
      <c r="F161" s="167">
        <f t="shared" ref="F161" si="55">F162+F166</f>
        <v>1626656</v>
      </c>
    </row>
    <row r="162" spans="1:8" ht="19.5" customHeight="1" outlineLevel="3">
      <c r="A162" s="164" t="s">
        <v>277</v>
      </c>
      <c r="B162" s="163" t="s">
        <v>504</v>
      </c>
      <c r="C162" s="163" t="s">
        <v>594</v>
      </c>
      <c r="D162" s="163" t="s">
        <v>276</v>
      </c>
      <c r="E162" s="163" t="s">
        <v>6</v>
      </c>
      <c r="F162" s="167">
        <f t="shared" si="54"/>
        <v>1383656</v>
      </c>
    </row>
    <row r="163" spans="1:8" ht="19.5" customHeight="1" outlineLevel="3">
      <c r="A163" s="200" t="s">
        <v>595</v>
      </c>
      <c r="B163" s="163" t="s">
        <v>504</v>
      </c>
      <c r="C163" s="163" t="s">
        <v>594</v>
      </c>
      <c r="D163" s="163" t="s">
        <v>596</v>
      </c>
      <c r="E163" s="163" t="s">
        <v>6</v>
      </c>
      <c r="F163" s="167">
        <f t="shared" si="54"/>
        <v>1383656</v>
      </c>
    </row>
    <row r="164" spans="1:8" ht="72" outlineLevel="3">
      <c r="A164" s="164" t="s">
        <v>11</v>
      </c>
      <c r="B164" s="163" t="s">
        <v>504</v>
      </c>
      <c r="C164" s="163" t="s">
        <v>594</v>
      </c>
      <c r="D164" s="163" t="s">
        <v>596</v>
      </c>
      <c r="E164" s="163" t="s">
        <v>12</v>
      </c>
      <c r="F164" s="167">
        <f t="shared" si="54"/>
        <v>1383656</v>
      </c>
    </row>
    <row r="165" spans="1:8" ht="36" outlineLevel="3">
      <c r="A165" s="164" t="s">
        <v>13</v>
      </c>
      <c r="B165" s="163" t="s">
        <v>504</v>
      </c>
      <c r="C165" s="163" t="s">
        <v>594</v>
      </c>
      <c r="D165" s="163" t="s">
        <v>596</v>
      </c>
      <c r="E165" s="163" t="s">
        <v>14</v>
      </c>
      <c r="F165" s="167">
        <v>1383656</v>
      </c>
    </row>
    <row r="166" spans="1:8" ht="54" outlineLevel="3">
      <c r="A166" s="200" t="s">
        <v>737</v>
      </c>
      <c r="B166" s="163" t="s">
        <v>504</v>
      </c>
      <c r="C166" s="163" t="s">
        <v>594</v>
      </c>
      <c r="D166" s="163" t="s">
        <v>742</v>
      </c>
      <c r="E166" s="163" t="s">
        <v>6</v>
      </c>
      <c r="F166" s="167">
        <f t="shared" ref="F166:F167" si="56">F167</f>
        <v>243000</v>
      </c>
    </row>
    <row r="167" spans="1:8" ht="72" outlineLevel="3">
      <c r="A167" s="164" t="s">
        <v>11</v>
      </c>
      <c r="B167" s="163" t="s">
        <v>504</v>
      </c>
      <c r="C167" s="163" t="s">
        <v>594</v>
      </c>
      <c r="D167" s="163" t="s">
        <v>742</v>
      </c>
      <c r="E167" s="163" t="s">
        <v>12</v>
      </c>
      <c r="F167" s="167">
        <f t="shared" si="56"/>
        <v>243000</v>
      </c>
    </row>
    <row r="168" spans="1:8" ht="36" outlineLevel="3">
      <c r="A168" s="164" t="s">
        <v>13</v>
      </c>
      <c r="B168" s="163" t="s">
        <v>504</v>
      </c>
      <c r="C168" s="163" t="s">
        <v>594</v>
      </c>
      <c r="D168" s="163" t="s">
        <v>742</v>
      </c>
      <c r="E168" s="163" t="s">
        <v>14</v>
      </c>
      <c r="F168" s="167">
        <f>потребность!I166</f>
        <v>243000</v>
      </c>
    </row>
    <row r="169" spans="1:8" ht="36" outlineLevel="3">
      <c r="A169" s="196" t="s">
        <v>41</v>
      </c>
      <c r="B169" s="197" t="s">
        <v>504</v>
      </c>
      <c r="C169" s="197" t="s">
        <v>42</v>
      </c>
      <c r="D169" s="197" t="s">
        <v>126</v>
      </c>
      <c r="E169" s="197" t="s">
        <v>6</v>
      </c>
      <c r="F169" s="171">
        <f>F170+F175</f>
        <v>991747.04</v>
      </c>
    </row>
    <row r="170" spans="1:8" ht="36" outlineLevel="3">
      <c r="A170" s="164" t="s">
        <v>43</v>
      </c>
      <c r="B170" s="163" t="s">
        <v>504</v>
      </c>
      <c r="C170" s="163" t="s">
        <v>44</v>
      </c>
      <c r="D170" s="163" t="s">
        <v>126</v>
      </c>
      <c r="E170" s="163" t="s">
        <v>6</v>
      </c>
      <c r="F170" s="167">
        <f t="shared" ref="F170:F173" si="57">F171</f>
        <v>406747.04000000004</v>
      </c>
    </row>
    <row r="171" spans="1:8" ht="36" outlineLevel="3">
      <c r="A171" s="164" t="s">
        <v>132</v>
      </c>
      <c r="B171" s="163" t="s">
        <v>504</v>
      </c>
      <c r="C171" s="163" t="s">
        <v>44</v>
      </c>
      <c r="D171" s="163" t="s">
        <v>127</v>
      </c>
      <c r="E171" s="163" t="s">
        <v>6</v>
      </c>
      <c r="F171" s="167">
        <f t="shared" si="57"/>
        <v>406747.04000000004</v>
      </c>
    </row>
    <row r="172" spans="1:8" s="266" customFormat="1" ht="36" outlineLevel="1">
      <c r="A172" s="164" t="s">
        <v>45</v>
      </c>
      <c r="B172" s="163" t="s">
        <v>504</v>
      </c>
      <c r="C172" s="163" t="s">
        <v>44</v>
      </c>
      <c r="D172" s="163" t="s">
        <v>133</v>
      </c>
      <c r="E172" s="163" t="s">
        <v>6</v>
      </c>
      <c r="F172" s="167">
        <f t="shared" si="57"/>
        <v>406747.04000000004</v>
      </c>
      <c r="G172" s="265"/>
      <c r="H172" s="265"/>
    </row>
    <row r="173" spans="1:8" ht="36" outlineLevel="2">
      <c r="A173" s="164" t="s">
        <v>15</v>
      </c>
      <c r="B173" s="163" t="s">
        <v>504</v>
      </c>
      <c r="C173" s="163" t="s">
        <v>44</v>
      </c>
      <c r="D173" s="163" t="s">
        <v>133</v>
      </c>
      <c r="E173" s="163" t="s">
        <v>16</v>
      </c>
      <c r="F173" s="167">
        <f t="shared" si="57"/>
        <v>406747.04000000004</v>
      </c>
    </row>
    <row r="174" spans="1:8" ht="36" outlineLevel="4">
      <c r="A174" s="164" t="s">
        <v>17</v>
      </c>
      <c r="B174" s="163" t="s">
        <v>504</v>
      </c>
      <c r="C174" s="163" t="s">
        <v>44</v>
      </c>
      <c r="D174" s="163" t="s">
        <v>133</v>
      </c>
      <c r="E174" s="163" t="s">
        <v>18</v>
      </c>
      <c r="F174" s="167">
        <f>потребность!I172</f>
        <v>406747.04000000004</v>
      </c>
    </row>
    <row r="175" spans="1:8" outlineLevel="5">
      <c r="A175" s="164" t="s">
        <v>508</v>
      </c>
      <c r="B175" s="163" t="s">
        <v>504</v>
      </c>
      <c r="C175" s="163" t="s">
        <v>509</v>
      </c>
      <c r="D175" s="163" t="s">
        <v>126</v>
      </c>
      <c r="E175" s="163" t="s">
        <v>6</v>
      </c>
      <c r="F175" s="167">
        <f t="shared" ref="F175:F178" si="58">F176</f>
        <v>585000</v>
      </c>
    </row>
    <row r="176" spans="1:8" ht="36" outlineLevel="6">
      <c r="A176" s="164" t="s">
        <v>132</v>
      </c>
      <c r="B176" s="163" t="s">
        <v>504</v>
      </c>
      <c r="C176" s="163" t="s">
        <v>509</v>
      </c>
      <c r="D176" s="163" t="s">
        <v>127</v>
      </c>
      <c r="E176" s="163" t="s">
        <v>6</v>
      </c>
      <c r="F176" s="167">
        <f t="shared" si="58"/>
        <v>585000</v>
      </c>
    </row>
    <row r="177" spans="1:8" ht="20.25" customHeight="1" outlineLevel="7">
      <c r="A177" s="164" t="s">
        <v>510</v>
      </c>
      <c r="B177" s="163" t="s">
        <v>504</v>
      </c>
      <c r="C177" s="163" t="s">
        <v>509</v>
      </c>
      <c r="D177" s="163" t="s">
        <v>696</v>
      </c>
      <c r="E177" s="163" t="s">
        <v>6</v>
      </c>
      <c r="F177" s="167">
        <f t="shared" si="58"/>
        <v>585000</v>
      </c>
    </row>
    <row r="178" spans="1:8" ht="20.25" customHeight="1" outlineLevel="7">
      <c r="A178" s="164" t="s">
        <v>15</v>
      </c>
      <c r="B178" s="163" t="s">
        <v>504</v>
      </c>
      <c r="C178" s="163" t="s">
        <v>509</v>
      </c>
      <c r="D178" s="163" t="s">
        <v>696</v>
      </c>
      <c r="E178" s="163" t="s">
        <v>16</v>
      </c>
      <c r="F178" s="167">
        <f t="shared" si="58"/>
        <v>585000</v>
      </c>
    </row>
    <row r="179" spans="1:8" ht="36" outlineLevel="7">
      <c r="A179" s="164" t="s">
        <v>17</v>
      </c>
      <c r="B179" s="163" t="s">
        <v>504</v>
      </c>
      <c r="C179" s="163" t="s">
        <v>509</v>
      </c>
      <c r="D179" s="163" t="s">
        <v>696</v>
      </c>
      <c r="E179" s="163" t="s">
        <v>18</v>
      </c>
      <c r="F179" s="167">
        <v>585000</v>
      </c>
    </row>
    <row r="180" spans="1:8" ht="20.25" customHeight="1" outlineLevel="7">
      <c r="A180" s="196" t="s">
        <v>119</v>
      </c>
      <c r="B180" s="197" t="s">
        <v>504</v>
      </c>
      <c r="C180" s="197" t="s">
        <v>46</v>
      </c>
      <c r="D180" s="197" t="s">
        <v>126</v>
      </c>
      <c r="E180" s="197" t="s">
        <v>6</v>
      </c>
      <c r="F180" s="171">
        <f>F198+F187+F210+F181</f>
        <v>37422264.170000002</v>
      </c>
    </row>
    <row r="181" spans="1:8" outlineLevel="7">
      <c r="A181" s="164" t="s">
        <v>121</v>
      </c>
      <c r="B181" s="163" t="s">
        <v>504</v>
      </c>
      <c r="C181" s="163" t="s">
        <v>122</v>
      </c>
      <c r="D181" s="163" t="s">
        <v>126</v>
      </c>
      <c r="E181" s="163" t="s">
        <v>6</v>
      </c>
      <c r="F181" s="167">
        <f t="shared" ref="F181" si="59">F182</f>
        <v>324127.09000000003</v>
      </c>
    </row>
    <row r="182" spans="1:8" ht="36" outlineLevel="7">
      <c r="A182" s="196" t="s">
        <v>132</v>
      </c>
      <c r="B182" s="163" t="s">
        <v>504</v>
      </c>
      <c r="C182" s="197" t="s">
        <v>122</v>
      </c>
      <c r="D182" s="197" t="s">
        <v>127</v>
      </c>
      <c r="E182" s="197" t="s">
        <v>6</v>
      </c>
      <c r="F182" s="171">
        <f t="shared" ref="F182" si="60">F184</f>
        <v>324127.09000000003</v>
      </c>
    </row>
    <row r="183" spans="1:8" s="266" customFormat="1" outlineLevel="7">
      <c r="A183" s="164" t="s">
        <v>277</v>
      </c>
      <c r="B183" s="163" t="s">
        <v>504</v>
      </c>
      <c r="C183" s="163" t="s">
        <v>122</v>
      </c>
      <c r="D183" s="163" t="s">
        <v>276</v>
      </c>
      <c r="E183" s="163" t="s">
        <v>6</v>
      </c>
      <c r="F183" s="167">
        <f t="shared" ref="F183:F185" si="61">F184</f>
        <v>324127.09000000003</v>
      </c>
      <c r="G183" s="265"/>
      <c r="H183" s="265"/>
    </row>
    <row r="184" spans="1:8" ht="84.75" customHeight="1" outlineLevel="7">
      <c r="A184" s="200" t="s">
        <v>383</v>
      </c>
      <c r="B184" s="163" t="s">
        <v>504</v>
      </c>
      <c r="C184" s="163" t="s">
        <v>122</v>
      </c>
      <c r="D184" s="163" t="s">
        <v>286</v>
      </c>
      <c r="E184" s="163" t="s">
        <v>6</v>
      </c>
      <c r="F184" s="167">
        <f t="shared" si="61"/>
        <v>324127.09000000003</v>
      </c>
    </row>
    <row r="185" spans="1:8" ht="36" outlineLevel="7">
      <c r="A185" s="164" t="s">
        <v>15</v>
      </c>
      <c r="B185" s="163" t="s">
        <v>504</v>
      </c>
      <c r="C185" s="163" t="s">
        <v>122</v>
      </c>
      <c r="D185" s="163" t="s">
        <v>286</v>
      </c>
      <c r="E185" s="163" t="s">
        <v>16</v>
      </c>
      <c r="F185" s="167">
        <f t="shared" si="61"/>
        <v>324127.09000000003</v>
      </c>
    </row>
    <row r="186" spans="1:8" ht="36" outlineLevel="7">
      <c r="A186" s="164" t="s">
        <v>17</v>
      </c>
      <c r="B186" s="163" t="s">
        <v>504</v>
      </c>
      <c r="C186" s="163" t="s">
        <v>122</v>
      </c>
      <c r="D186" s="163" t="s">
        <v>286</v>
      </c>
      <c r="E186" s="163" t="s">
        <v>18</v>
      </c>
      <c r="F186" s="167">
        <v>324127.09000000003</v>
      </c>
    </row>
    <row r="187" spans="1:8" outlineLevel="7">
      <c r="A187" s="164" t="s">
        <v>290</v>
      </c>
      <c r="B187" s="163" t="s">
        <v>504</v>
      </c>
      <c r="C187" s="163" t="s">
        <v>291</v>
      </c>
      <c r="D187" s="163" t="s">
        <v>126</v>
      </c>
      <c r="E187" s="163" t="s">
        <v>6</v>
      </c>
      <c r="F187" s="167">
        <f>F188+F195</f>
        <v>103387.08</v>
      </c>
    </row>
    <row r="188" spans="1:8" ht="36" outlineLevel="7">
      <c r="A188" s="164" t="s">
        <v>132</v>
      </c>
      <c r="B188" s="163" t="s">
        <v>504</v>
      </c>
      <c r="C188" s="163" t="s">
        <v>291</v>
      </c>
      <c r="D188" s="163" t="s">
        <v>127</v>
      </c>
      <c r="E188" s="163" t="s">
        <v>6</v>
      </c>
      <c r="F188" s="167">
        <f>F190</f>
        <v>3387.08</v>
      </c>
    </row>
    <row r="189" spans="1:8" ht="20.25" customHeight="1" outlineLevel="7">
      <c r="A189" s="164" t="s">
        <v>277</v>
      </c>
      <c r="B189" s="163" t="s">
        <v>504</v>
      </c>
      <c r="C189" s="163" t="s">
        <v>291</v>
      </c>
      <c r="D189" s="163" t="s">
        <v>276</v>
      </c>
      <c r="E189" s="163" t="s">
        <v>6</v>
      </c>
      <c r="F189" s="167">
        <f>F190</f>
        <v>3387.08</v>
      </c>
    </row>
    <row r="190" spans="1:8" ht="108" outlineLevel="7">
      <c r="A190" s="187" t="s">
        <v>385</v>
      </c>
      <c r="B190" s="163" t="s">
        <v>504</v>
      </c>
      <c r="C190" s="163" t="s">
        <v>291</v>
      </c>
      <c r="D190" s="163" t="s">
        <v>384</v>
      </c>
      <c r="E190" s="163" t="s">
        <v>6</v>
      </c>
      <c r="F190" s="167">
        <f t="shared" ref="F190:F191" si="62">F191</f>
        <v>3387.08</v>
      </c>
    </row>
    <row r="191" spans="1:8" ht="36" outlineLevel="7">
      <c r="A191" s="164" t="s">
        <v>15</v>
      </c>
      <c r="B191" s="163" t="s">
        <v>504</v>
      </c>
      <c r="C191" s="163" t="s">
        <v>291</v>
      </c>
      <c r="D191" s="163" t="s">
        <v>384</v>
      </c>
      <c r="E191" s="163" t="s">
        <v>16</v>
      </c>
      <c r="F191" s="167">
        <f t="shared" si="62"/>
        <v>3387.08</v>
      </c>
    </row>
    <row r="192" spans="1:8" s="266" customFormat="1" ht="36" outlineLevel="7">
      <c r="A192" s="164" t="s">
        <v>17</v>
      </c>
      <c r="B192" s="163" t="s">
        <v>504</v>
      </c>
      <c r="C192" s="163" t="s">
        <v>291</v>
      </c>
      <c r="D192" s="163" t="s">
        <v>384</v>
      </c>
      <c r="E192" s="163" t="s">
        <v>18</v>
      </c>
      <c r="F192" s="218">
        <v>3387.08</v>
      </c>
      <c r="G192" s="265"/>
      <c r="H192" s="265"/>
    </row>
    <row r="193" spans="1:8" s="266" customFormat="1" ht="54" outlineLevel="7">
      <c r="A193" s="251" t="s">
        <v>849</v>
      </c>
      <c r="B193" s="163" t="s">
        <v>504</v>
      </c>
      <c r="C193" s="163" t="s">
        <v>291</v>
      </c>
      <c r="D193" s="163" t="s">
        <v>320</v>
      </c>
      <c r="E193" s="163" t="s">
        <v>6</v>
      </c>
      <c r="F193" s="218">
        <f>F194</f>
        <v>100000</v>
      </c>
      <c r="G193" s="265"/>
      <c r="H193" s="265"/>
    </row>
    <row r="194" spans="1:8" s="266" customFormat="1" ht="36" outlineLevel="7">
      <c r="A194" s="268" t="s">
        <v>831</v>
      </c>
      <c r="B194" s="163" t="s">
        <v>504</v>
      </c>
      <c r="C194" s="163" t="s">
        <v>291</v>
      </c>
      <c r="D194" s="163" t="s">
        <v>832</v>
      </c>
      <c r="E194" s="163" t="s">
        <v>6</v>
      </c>
      <c r="F194" s="218">
        <f>F195</f>
        <v>100000</v>
      </c>
      <c r="G194" s="265"/>
      <c r="H194" s="265"/>
    </row>
    <row r="195" spans="1:8" s="266" customFormat="1" ht="90" outlineLevel="7">
      <c r="A195" s="221" t="s">
        <v>834</v>
      </c>
      <c r="B195" s="163" t="s">
        <v>504</v>
      </c>
      <c r="C195" s="163" t="s">
        <v>291</v>
      </c>
      <c r="D195" s="163" t="s">
        <v>833</v>
      </c>
      <c r="E195" s="163" t="s">
        <v>6</v>
      </c>
      <c r="F195" s="218">
        <f>F196</f>
        <v>100000</v>
      </c>
      <c r="G195" s="265"/>
      <c r="H195" s="265"/>
    </row>
    <row r="196" spans="1:8" s="266" customFormat="1" ht="36" outlineLevel="7">
      <c r="A196" s="268" t="s">
        <v>793</v>
      </c>
      <c r="B196" s="163" t="s">
        <v>504</v>
      </c>
      <c r="C196" s="163" t="s">
        <v>291</v>
      </c>
      <c r="D196" s="163" t="s">
        <v>833</v>
      </c>
      <c r="E196" s="163" t="s">
        <v>20</v>
      </c>
      <c r="F196" s="218">
        <f>F197</f>
        <v>100000</v>
      </c>
      <c r="G196" s="265"/>
      <c r="H196" s="265"/>
    </row>
    <row r="197" spans="1:8" s="266" customFormat="1" ht="54" outlineLevel="7">
      <c r="A197" s="164" t="s">
        <v>47</v>
      </c>
      <c r="B197" s="163" t="s">
        <v>504</v>
      </c>
      <c r="C197" s="163" t="s">
        <v>291</v>
      </c>
      <c r="D197" s="163" t="s">
        <v>833</v>
      </c>
      <c r="E197" s="163" t="s">
        <v>48</v>
      </c>
      <c r="F197" s="218">
        <v>100000</v>
      </c>
      <c r="G197" s="265"/>
      <c r="H197" s="265"/>
    </row>
    <row r="198" spans="1:8" ht="27.75" customHeight="1" outlineLevel="7">
      <c r="A198" s="164" t="s">
        <v>49</v>
      </c>
      <c r="B198" s="163" t="s">
        <v>504</v>
      </c>
      <c r="C198" s="163" t="s">
        <v>50</v>
      </c>
      <c r="D198" s="163" t="s">
        <v>126</v>
      </c>
      <c r="E198" s="163" t="s">
        <v>6</v>
      </c>
      <c r="F198" s="167">
        <f>F199</f>
        <v>36551150</v>
      </c>
    </row>
    <row r="199" spans="1:8" ht="54" outlineLevel="7">
      <c r="A199" s="196" t="s">
        <v>879</v>
      </c>
      <c r="B199" s="197" t="s">
        <v>504</v>
      </c>
      <c r="C199" s="197" t="s">
        <v>50</v>
      </c>
      <c r="D199" s="197" t="s">
        <v>335</v>
      </c>
      <c r="E199" s="197" t="s">
        <v>6</v>
      </c>
      <c r="F199" s="171">
        <f t="shared" ref="F199" si="63">F200</f>
        <v>36551150</v>
      </c>
    </row>
    <row r="200" spans="1:8" ht="20.25" customHeight="1" outlineLevel="7">
      <c r="A200" s="164" t="s">
        <v>336</v>
      </c>
      <c r="B200" s="163" t="s">
        <v>504</v>
      </c>
      <c r="C200" s="163" t="s">
        <v>50</v>
      </c>
      <c r="D200" s="163" t="s">
        <v>337</v>
      </c>
      <c r="E200" s="163" t="s">
        <v>6</v>
      </c>
      <c r="F200" s="167">
        <f>F201+F207</f>
        <v>36551150</v>
      </c>
    </row>
    <row r="201" spans="1:8" ht="54" outlineLevel="7">
      <c r="A201" s="33" t="s">
        <v>850</v>
      </c>
      <c r="B201" s="163" t="s">
        <v>504</v>
      </c>
      <c r="C201" s="163" t="s">
        <v>50</v>
      </c>
      <c r="D201" s="163" t="s">
        <v>339</v>
      </c>
      <c r="E201" s="163" t="s">
        <v>6</v>
      </c>
      <c r="F201" s="167">
        <f t="shared" ref="F201:F202" si="64">F202</f>
        <v>36241150</v>
      </c>
    </row>
    <row r="202" spans="1:8" s="266" customFormat="1" ht="36" outlineLevel="7">
      <c r="A202" s="164" t="s">
        <v>15</v>
      </c>
      <c r="B202" s="163" t="s">
        <v>504</v>
      </c>
      <c r="C202" s="163" t="s">
        <v>50</v>
      </c>
      <c r="D202" s="163" t="s">
        <v>339</v>
      </c>
      <c r="E202" s="163" t="s">
        <v>16</v>
      </c>
      <c r="F202" s="167">
        <f t="shared" si="64"/>
        <v>36241150</v>
      </c>
      <c r="G202" s="265"/>
      <c r="H202" s="265"/>
    </row>
    <row r="203" spans="1:8" ht="44.4" customHeight="1" outlineLevel="7">
      <c r="A203" s="164" t="s">
        <v>17</v>
      </c>
      <c r="B203" s="163" t="s">
        <v>504</v>
      </c>
      <c r="C203" s="163" t="s">
        <v>50</v>
      </c>
      <c r="D203" s="163" t="s">
        <v>339</v>
      </c>
      <c r="E203" s="163" t="s">
        <v>18</v>
      </c>
      <c r="F203" s="167">
        <f>потребность!L201</f>
        <v>36241150</v>
      </c>
    </row>
    <row r="204" spans="1:8" ht="72" hidden="1" outlineLevel="7">
      <c r="A204" s="164" t="s">
        <v>571</v>
      </c>
      <c r="B204" s="163" t="s">
        <v>504</v>
      </c>
      <c r="C204" s="163" t="s">
        <v>50</v>
      </c>
      <c r="D204" s="163" t="s">
        <v>597</v>
      </c>
      <c r="E204" s="163" t="s">
        <v>6</v>
      </c>
      <c r="F204" s="167">
        <f t="shared" ref="F204:F205" si="65">F205</f>
        <v>0</v>
      </c>
    </row>
    <row r="205" spans="1:8" ht="36" hidden="1" outlineLevel="7">
      <c r="A205" s="164" t="s">
        <v>15</v>
      </c>
      <c r="B205" s="163" t="s">
        <v>504</v>
      </c>
      <c r="C205" s="163" t="s">
        <v>50</v>
      </c>
      <c r="D205" s="163" t="s">
        <v>597</v>
      </c>
      <c r="E205" s="163" t="s">
        <v>16</v>
      </c>
      <c r="F205" s="167">
        <f t="shared" si="65"/>
        <v>0</v>
      </c>
    </row>
    <row r="206" spans="1:8" ht="21.75" hidden="1" customHeight="1" outlineLevel="7">
      <c r="A206" s="164" t="s">
        <v>17</v>
      </c>
      <c r="B206" s="163" t="s">
        <v>504</v>
      </c>
      <c r="C206" s="163" t="s">
        <v>50</v>
      </c>
      <c r="D206" s="163" t="s">
        <v>597</v>
      </c>
      <c r="E206" s="163" t="s">
        <v>18</v>
      </c>
      <c r="F206" s="167"/>
    </row>
    <row r="207" spans="1:8" ht="43.5" customHeight="1" outlineLevel="7">
      <c r="A207" s="164" t="s">
        <v>280</v>
      </c>
      <c r="B207" s="163" t="s">
        <v>504</v>
      </c>
      <c r="C207" s="163" t="s">
        <v>50</v>
      </c>
      <c r="D207" s="163" t="s">
        <v>409</v>
      </c>
      <c r="E207" s="163" t="s">
        <v>6</v>
      </c>
      <c r="F207" s="184">
        <f t="shared" ref="F207:F208" si="66">F208</f>
        <v>310000</v>
      </c>
    </row>
    <row r="208" spans="1:8" ht="36" outlineLevel="7">
      <c r="A208" s="164" t="s">
        <v>15</v>
      </c>
      <c r="B208" s="163" t="s">
        <v>504</v>
      </c>
      <c r="C208" s="163" t="s">
        <v>50</v>
      </c>
      <c r="D208" s="163" t="s">
        <v>409</v>
      </c>
      <c r="E208" s="163" t="s">
        <v>16</v>
      </c>
      <c r="F208" s="184">
        <f t="shared" si="66"/>
        <v>310000</v>
      </c>
    </row>
    <row r="209" spans="1:8" ht="36" outlineLevel="7">
      <c r="A209" s="164" t="s">
        <v>17</v>
      </c>
      <c r="B209" s="163" t="s">
        <v>504</v>
      </c>
      <c r="C209" s="163" t="s">
        <v>50</v>
      </c>
      <c r="D209" s="163" t="s">
        <v>409</v>
      </c>
      <c r="E209" s="163" t="s">
        <v>18</v>
      </c>
      <c r="F209" s="167">
        <f>потребность!I207</f>
        <v>310000</v>
      </c>
    </row>
    <row r="210" spans="1:8" outlineLevel="7">
      <c r="A210" s="164" t="s">
        <v>52</v>
      </c>
      <c r="B210" s="163" t="s">
        <v>504</v>
      </c>
      <c r="C210" s="163" t="s">
        <v>53</v>
      </c>
      <c r="D210" s="163" t="s">
        <v>126</v>
      </c>
      <c r="E210" s="163" t="s">
        <v>6</v>
      </c>
      <c r="F210" s="167">
        <f>F211+F216</f>
        <v>443600</v>
      </c>
    </row>
    <row r="211" spans="1:8" ht="39.15" customHeight="1" outlineLevel="7">
      <c r="A211" s="196" t="s">
        <v>878</v>
      </c>
      <c r="B211" s="197" t="s">
        <v>504</v>
      </c>
      <c r="C211" s="197" t="s">
        <v>53</v>
      </c>
      <c r="D211" s="197" t="s">
        <v>412</v>
      </c>
      <c r="E211" s="197" t="s">
        <v>6</v>
      </c>
      <c r="F211" s="167">
        <f>F212</f>
        <v>100000</v>
      </c>
    </row>
    <row r="212" spans="1:8" ht="36" outlineLevel="7">
      <c r="A212" s="164" t="s">
        <v>801</v>
      </c>
      <c r="B212" s="163" t="s">
        <v>504</v>
      </c>
      <c r="C212" s="163" t="s">
        <v>53</v>
      </c>
      <c r="D212" s="163" t="s">
        <v>414</v>
      </c>
      <c r="E212" s="163" t="s">
        <v>6</v>
      </c>
      <c r="F212" s="167">
        <f t="shared" ref="F212:F214" si="67">F213</f>
        <v>100000</v>
      </c>
    </row>
    <row r="213" spans="1:8" ht="83.25" customHeight="1" outlineLevel="7">
      <c r="A213" s="164" t="s">
        <v>802</v>
      </c>
      <c r="B213" s="163" t="s">
        <v>504</v>
      </c>
      <c r="C213" s="163" t="s">
        <v>53</v>
      </c>
      <c r="D213" s="163" t="s">
        <v>803</v>
      </c>
      <c r="E213" s="163" t="s">
        <v>6</v>
      </c>
      <c r="F213" s="167">
        <f t="shared" si="67"/>
        <v>100000</v>
      </c>
    </row>
    <row r="214" spans="1:8" outlineLevel="2">
      <c r="A214" s="164" t="s">
        <v>19</v>
      </c>
      <c r="B214" s="163" t="s">
        <v>504</v>
      </c>
      <c r="C214" s="163" t="s">
        <v>53</v>
      </c>
      <c r="D214" s="163" t="s">
        <v>803</v>
      </c>
      <c r="E214" s="163" t="s">
        <v>20</v>
      </c>
      <c r="F214" s="167">
        <f t="shared" si="67"/>
        <v>100000</v>
      </c>
    </row>
    <row r="215" spans="1:8" ht="54" outlineLevel="2">
      <c r="A215" s="164" t="s">
        <v>47</v>
      </c>
      <c r="B215" s="163" t="s">
        <v>504</v>
      </c>
      <c r="C215" s="163" t="s">
        <v>53</v>
      </c>
      <c r="D215" s="163" t="s">
        <v>803</v>
      </c>
      <c r="E215" s="163" t="s">
        <v>48</v>
      </c>
      <c r="F215" s="167">
        <v>100000</v>
      </c>
    </row>
    <row r="216" spans="1:8" ht="60.75" customHeight="1" outlineLevel="2">
      <c r="A216" s="196" t="s">
        <v>877</v>
      </c>
      <c r="B216" s="197" t="s">
        <v>504</v>
      </c>
      <c r="C216" s="197" t="s">
        <v>53</v>
      </c>
      <c r="D216" s="197" t="s">
        <v>340</v>
      </c>
      <c r="E216" s="197" t="s">
        <v>6</v>
      </c>
      <c r="F216" s="171">
        <f>F217+F221</f>
        <v>343600</v>
      </c>
    </row>
    <row r="217" spans="1:8" ht="36" outlineLevel="2">
      <c r="A217" s="164" t="s">
        <v>386</v>
      </c>
      <c r="B217" s="163" t="s">
        <v>504</v>
      </c>
      <c r="C217" s="163" t="s">
        <v>53</v>
      </c>
      <c r="D217" s="163" t="s">
        <v>341</v>
      </c>
      <c r="E217" s="163" t="s">
        <v>6</v>
      </c>
      <c r="F217" s="184">
        <f>F218</f>
        <v>213600</v>
      </c>
    </row>
    <row r="218" spans="1:8" outlineLevel="2">
      <c r="A218" s="164" t="s">
        <v>342</v>
      </c>
      <c r="B218" s="163" t="s">
        <v>504</v>
      </c>
      <c r="C218" s="163" t="s">
        <v>53</v>
      </c>
      <c r="D218" s="163" t="s">
        <v>343</v>
      </c>
      <c r="E218" s="163" t="s">
        <v>6</v>
      </c>
      <c r="F218" s="184">
        <f t="shared" ref="F218:F219" si="68">F219</f>
        <v>213600</v>
      </c>
    </row>
    <row r="219" spans="1:8" s="266" customFormat="1" ht="36" outlineLevel="3">
      <c r="A219" s="164" t="s">
        <v>15</v>
      </c>
      <c r="B219" s="163" t="s">
        <v>504</v>
      </c>
      <c r="C219" s="163" t="s">
        <v>53</v>
      </c>
      <c r="D219" s="163" t="s">
        <v>343</v>
      </c>
      <c r="E219" s="163" t="s">
        <v>16</v>
      </c>
      <c r="F219" s="184">
        <f t="shared" si="68"/>
        <v>213600</v>
      </c>
      <c r="G219" s="265"/>
      <c r="H219" s="265"/>
    </row>
    <row r="220" spans="1:8" ht="36" outlineLevel="3">
      <c r="A220" s="164" t="s">
        <v>17</v>
      </c>
      <c r="B220" s="163" t="s">
        <v>504</v>
      </c>
      <c r="C220" s="163" t="s">
        <v>53</v>
      </c>
      <c r="D220" s="163" t="s">
        <v>343</v>
      </c>
      <c r="E220" s="163" t="s">
        <v>18</v>
      </c>
      <c r="F220" s="167">
        <f>потребность!I222</f>
        <v>213600</v>
      </c>
    </row>
    <row r="221" spans="1:8" ht="36" outlineLevel="3">
      <c r="A221" s="200" t="s">
        <v>388</v>
      </c>
      <c r="B221" s="163" t="s">
        <v>504</v>
      </c>
      <c r="C221" s="163" t="s">
        <v>53</v>
      </c>
      <c r="D221" s="163" t="s">
        <v>387</v>
      </c>
      <c r="E221" s="163" t="s">
        <v>6</v>
      </c>
      <c r="F221" s="167">
        <f>F222</f>
        <v>130000</v>
      </c>
    </row>
    <row r="222" spans="1:8" outlineLevel="3">
      <c r="A222" s="164" t="s">
        <v>344</v>
      </c>
      <c r="B222" s="163" t="s">
        <v>504</v>
      </c>
      <c r="C222" s="163" t="s">
        <v>53</v>
      </c>
      <c r="D222" s="163" t="s">
        <v>439</v>
      </c>
      <c r="E222" s="163" t="s">
        <v>6</v>
      </c>
      <c r="F222" s="167">
        <f t="shared" ref="F222:F223" si="69">F223</f>
        <v>130000</v>
      </c>
    </row>
    <row r="223" spans="1:8" ht="18.75" customHeight="1" outlineLevel="3">
      <c r="A223" s="164" t="s">
        <v>15</v>
      </c>
      <c r="B223" s="163" t="s">
        <v>504</v>
      </c>
      <c r="C223" s="163" t="s">
        <v>53</v>
      </c>
      <c r="D223" s="163" t="s">
        <v>439</v>
      </c>
      <c r="E223" s="163" t="s">
        <v>16</v>
      </c>
      <c r="F223" s="167">
        <f t="shared" si="69"/>
        <v>130000</v>
      </c>
    </row>
    <row r="224" spans="1:8" ht="19.5" customHeight="1" outlineLevel="3">
      <c r="A224" s="164" t="s">
        <v>17</v>
      </c>
      <c r="B224" s="163" t="s">
        <v>504</v>
      </c>
      <c r="C224" s="163" t="s">
        <v>53</v>
      </c>
      <c r="D224" s="163" t="s">
        <v>439</v>
      </c>
      <c r="E224" s="163" t="s">
        <v>18</v>
      </c>
      <c r="F224" s="167">
        <v>130000</v>
      </c>
    </row>
    <row r="225" spans="1:8" outlineLevel="5">
      <c r="A225" s="196" t="s">
        <v>54</v>
      </c>
      <c r="B225" s="197" t="s">
        <v>504</v>
      </c>
      <c r="C225" s="197" t="s">
        <v>55</v>
      </c>
      <c r="D225" s="197" t="s">
        <v>126</v>
      </c>
      <c r="E225" s="197" t="s">
        <v>6</v>
      </c>
      <c r="F225" s="219">
        <f>F226+F237+F269+F318</f>
        <v>98805578.430000007</v>
      </c>
    </row>
    <row r="226" spans="1:8" outlineLevel="6">
      <c r="A226" s="164" t="s">
        <v>56</v>
      </c>
      <c r="B226" s="163" t="s">
        <v>504</v>
      </c>
      <c r="C226" s="163" t="s">
        <v>57</v>
      </c>
      <c r="D226" s="163" t="s">
        <v>126</v>
      </c>
      <c r="E226" s="163" t="s">
        <v>6</v>
      </c>
      <c r="F226" s="167">
        <f>F227+F233</f>
        <v>1500000</v>
      </c>
    </row>
    <row r="227" spans="1:8" ht="61.5" customHeight="1" outlineLevel="7">
      <c r="A227" s="196" t="s">
        <v>876</v>
      </c>
      <c r="B227" s="197" t="s">
        <v>504</v>
      </c>
      <c r="C227" s="197" t="s">
        <v>57</v>
      </c>
      <c r="D227" s="197" t="s">
        <v>331</v>
      </c>
      <c r="E227" s="197" t="s">
        <v>6</v>
      </c>
      <c r="F227" s="171">
        <f>F228</f>
        <v>1500000</v>
      </c>
    </row>
    <row r="228" spans="1:8" s="266" customFormat="1" ht="36" outlineLevel="1">
      <c r="A228" s="164" t="s">
        <v>345</v>
      </c>
      <c r="B228" s="163" t="s">
        <v>504</v>
      </c>
      <c r="C228" s="163" t="s">
        <v>57</v>
      </c>
      <c r="D228" s="163" t="s">
        <v>332</v>
      </c>
      <c r="E228" s="163" t="s">
        <v>6</v>
      </c>
      <c r="F228" s="167">
        <f t="shared" ref="F228:F230" si="70">F229</f>
        <v>1500000</v>
      </c>
      <c r="G228" s="265"/>
      <c r="H228" s="265"/>
    </row>
    <row r="229" spans="1:8" outlineLevel="1">
      <c r="A229" s="164" t="s">
        <v>346</v>
      </c>
      <c r="B229" s="163" t="s">
        <v>504</v>
      </c>
      <c r="C229" s="163" t="s">
        <v>57</v>
      </c>
      <c r="D229" s="163" t="s">
        <v>347</v>
      </c>
      <c r="E229" s="163" t="s">
        <v>6</v>
      </c>
      <c r="F229" s="167">
        <f t="shared" si="70"/>
        <v>1500000</v>
      </c>
    </row>
    <row r="230" spans="1:8" s="266" customFormat="1" ht="36" outlineLevel="1">
      <c r="A230" s="164" t="s">
        <v>15</v>
      </c>
      <c r="B230" s="163" t="s">
        <v>504</v>
      </c>
      <c r="C230" s="163" t="s">
        <v>57</v>
      </c>
      <c r="D230" s="163" t="s">
        <v>347</v>
      </c>
      <c r="E230" s="163" t="s">
        <v>16</v>
      </c>
      <c r="F230" s="167">
        <f t="shared" si="70"/>
        <v>1500000</v>
      </c>
      <c r="G230" s="265"/>
      <c r="H230" s="265"/>
    </row>
    <row r="231" spans="1:8" ht="36.75" customHeight="1" outlineLevel="1">
      <c r="A231" s="164" t="s">
        <v>17</v>
      </c>
      <c r="B231" s="163" t="s">
        <v>504</v>
      </c>
      <c r="C231" s="163" t="s">
        <v>57</v>
      </c>
      <c r="D231" s="163" t="s">
        <v>347</v>
      </c>
      <c r="E231" s="163" t="s">
        <v>18</v>
      </c>
      <c r="F231" s="184">
        <v>1500000</v>
      </c>
    </row>
    <row r="232" spans="1:8" ht="36" hidden="1" outlineLevel="5">
      <c r="A232" s="164" t="s">
        <v>132</v>
      </c>
      <c r="B232" s="163" t="s">
        <v>504</v>
      </c>
      <c r="C232" s="163" t="s">
        <v>57</v>
      </c>
      <c r="D232" s="163" t="s">
        <v>127</v>
      </c>
      <c r="E232" s="163" t="s">
        <v>6</v>
      </c>
      <c r="F232" s="167">
        <f t="shared" ref="F232:F235" si="71">F233</f>
        <v>0</v>
      </c>
    </row>
    <row r="233" spans="1:8" hidden="1" outlineLevel="6">
      <c r="A233" s="164" t="s">
        <v>277</v>
      </c>
      <c r="B233" s="163" t="s">
        <v>504</v>
      </c>
      <c r="C233" s="163" t="s">
        <v>57</v>
      </c>
      <c r="D233" s="163" t="s">
        <v>276</v>
      </c>
      <c r="E233" s="163" t="s">
        <v>6</v>
      </c>
      <c r="F233" s="167">
        <f t="shared" si="71"/>
        <v>0</v>
      </c>
    </row>
    <row r="234" spans="1:8" ht="18" hidden="1" customHeight="1" outlineLevel="7">
      <c r="A234" s="187" t="s">
        <v>381</v>
      </c>
      <c r="B234" s="163" t="s">
        <v>504</v>
      </c>
      <c r="C234" s="163" t="s">
        <v>57</v>
      </c>
      <c r="D234" s="163" t="s">
        <v>511</v>
      </c>
      <c r="E234" s="163" t="s">
        <v>6</v>
      </c>
      <c r="F234" s="167">
        <f t="shared" si="71"/>
        <v>0</v>
      </c>
    </row>
    <row r="235" spans="1:8" ht="19.5" hidden="1" customHeight="1" outlineLevel="7">
      <c r="A235" s="164" t="s">
        <v>15</v>
      </c>
      <c r="B235" s="163" t="s">
        <v>504</v>
      </c>
      <c r="C235" s="163" t="s">
        <v>57</v>
      </c>
      <c r="D235" s="163" t="s">
        <v>511</v>
      </c>
      <c r="E235" s="163" t="s">
        <v>16</v>
      </c>
      <c r="F235" s="167">
        <f t="shared" si="71"/>
        <v>0</v>
      </c>
    </row>
    <row r="236" spans="1:8" ht="19.5" hidden="1" customHeight="1" outlineLevel="7">
      <c r="A236" s="164" t="s">
        <v>17</v>
      </c>
      <c r="B236" s="163" t="s">
        <v>504</v>
      </c>
      <c r="C236" s="163" t="s">
        <v>57</v>
      </c>
      <c r="D236" s="163" t="s">
        <v>511</v>
      </c>
      <c r="E236" s="163" t="s">
        <v>18</v>
      </c>
      <c r="F236" s="184">
        <v>0</v>
      </c>
    </row>
    <row r="237" spans="1:8" ht="18.75" customHeight="1" outlineLevel="7">
      <c r="A237" s="164" t="s">
        <v>58</v>
      </c>
      <c r="B237" s="163" t="s">
        <v>504</v>
      </c>
      <c r="C237" s="163" t="s">
        <v>59</v>
      </c>
      <c r="D237" s="163" t="s">
        <v>126</v>
      </c>
      <c r="E237" s="163" t="s">
        <v>6</v>
      </c>
      <c r="F237" s="167">
        <f t="shared" ref="F237" si="72">F238</f>
        <v>53288478.189999998</v>
      </c>
    </row>
    <row r="238" spans="1:8" ht="54" outlineLevel="7">
      <c r="A238" s="196" t="s">
        <v>874</v>
      </c>
      <c r="B238" s="197" t="s">
        <v>504</v>
      </c>
      <c r="C238" s="197" t="s">
        <v>59</v>
      </c>
      <c r="D238" s="197" t="s">
        <v>134</v>
      </c>
      <c r="E238" s="197" t="s">
        <v>6</v>
      </c>
      <c r="F238" s="171">
        <f>F239+F266</f>
        <v>53288478.189999998</v>
      </c>
    </row>
    <row r="239" spans="1:8" ht="54" outlineLevel="7">
      <c r="A239" s="164" t="s">
        <v>875</v>
      </c>
      <c r="B239" s="163" t="s">
        <v>504</v>
      </c>
      <c r="C239" s="163" t="s">
        <v>59</v>
      </c>
      <c r="D239" s="163" t="s">
        <v>350</v>
      </c>
      <c r="E239" s="163" t="s">
        <v>6</v>
      </c>
      <c r="F239" s="167">
        <f>F240+F247+F250+F256+F253</f>
        <v>53288478.189999998</v>
      </c>
    </row>
    <row r="240" spans="1:8" ht="72" outlineLevel="1">
      <c r="A240" s="164" t="s">
        <v>60</v>
      </c>
      <c r="B240" s="163" t="s">
        <v>504</v>
      </c>
      <c r="C240" s="163" t="s">
        <v>59</v>
      </c>
      <c r="D240" s="163" t="s">
        <v>351</v>
      </c>
      <c r="E240" s="163" t="s">
        <v>6</v>
      </c>
      <c r="F240" s="167">
        <f>F241+F243+F245</f>
        <v>37810478.189999998</v>
      </c>
    </row>
    <row r="241" spans="1:8" s="266" customFormat="1" ht="36" outlineLevel="1">
      <c r="A241" s="164" t="s">
        <v>15</v>
      </c>
      <c r="B241" s="163" t="s">
        <v>504</v>
      </c>
      <c r="C241" s="163" t="s">
        <v>59</v>
      </c>
      <c r="D241" s="163" t="s">
        <v>351</v>
      </c>
      <c r="E241" s="163" t="s">
        <v>16</v>
      </c>
      <c r="F241" s="167">
        <f t="shared" ref="F241" si="73">F242</f>
        <v>4910000</v>
      </c>
      <c r="G241" s="265"/>
      <c r="H241" s="265"/>
    </row>
    <row r="242" spans="1:8" ht="39.15" customHeight="1" outlineLevel="1">
      <c r="A242" s="164" t="s">
        <v>17</v>
      </c>
      <c r="B242" s="163" t="s">
        <v>504</v>
      </c>
      <c r="C242" s="163" t="s">
        <v>59</v>
      </c>
      <c r="D242" s="163" t="s">
        <v>351</v>
      </c>
      <c r="E242" s="163" t="s">
        <v>18</v>
      </c>
      <c r="F242" s="184">
        <f>потребность!L244</f>
        <v>4910000</v>
      </c>
    </row>
    <row r="243" spans="1:8" ht="41.25" customHeight="1" outlineLevel="1">
      <c r="A243" s="164" t="s">
        <v>264</v>
      </c>
      <c r="B243" s="163" t="s">
        <v>504</v>
      </c>
      <c r="C243" s="163" t="s">
        <v>59</v>
      </c>
      <c r="D243" s="163" t="s">
        <v>351</v>
      </c>
      <c r="E243" s="163" t="s">
        <v>265</v>
      </c>
      <c r="F243" s="184">
        <f>F244</f>
        <v>22900478.190000001</v>
      </c>
    </row>
    <row r="244" spans="1:8" ht="41.25" customHeight="1" outlineLevel="1">
      <c r="A244" s="164" t="s">
        <v>266</v>
      </c>
      <c r="B244" s="163" t="s">
        <v>504</v>
      </c>
      <c r="C244" s="163" t="s">
        <v>59</v>
      </c>
      <c r="D244" s="163" t="s">
        <v>351</v>
      </c>
      <c r="E244" s="163" t="s">
        <v>267</v>
      </c>
      <c r="F244" s="184">
        <v>22900478.190000001</v>
      </c>
    </row>
    <row r="245" spans="1:8" ht="27.75" customHeight="1" outlineLevel="1">
      <c r="A245" s="164" t="s">
        <v>19</v>
      </c>
      <c r="B245" s="163" t="s">
        <v>504</v>
      </c>
      <c r="C245" s="163" t="s">
        <v>59</v>
      </c>
      <c r="D245" s="163" t="s">
        <v>351</v>
      </c>
      <c r="E245" s="163" t="s">
        <v>20</v>
      </c>
      <c r="F245" s="184">
        <f>F246</f>
        <v>10000000</v>
      </c>
    </row>
    <row r="246" spans="1:8" ht="21.15" customHeight="1" outlineLevel="1">
      <c r="A246" s="164" t="s">
        <v>47</v>
      </c>
      <c r="B246" s="163" t="s">
        <v>504</v>
      </c>
      <c r="C246" s="163" t="s">
        <v>59</v>
      </c>
      <c r="D246" s="163" t="s">
        <v>351</v>
      </c>
      <c r="E246" s="163" t="s">
        <v>48</v>
      </c>
      <c r="F246" s="184">
        <f>потребность!L248</f>
        <v>10000000</v>
      </c>
    </row>
    <row r="247" spans="1:8" ht="21.15" customHeight="1" outlineLevel="1">
      <c r="A247" s="164" t="s">
        <v>250</v>
      </c>
      <c r="B247" s="163" t="s">
        <v>504</v>
      </c>
      <c r="C247" s="163" t="s">
        <v>59</v>
      </c>
      <c r="D247" s="163" t="s">
        <v>352</v>
      </c>
      <c r="E247" s="163" t="s">
        <v>6</v>
      </c>
      <c r="F247" s="184">
        <f t="shared" ref="F247:F248" si="74">F248</f>
        <v>4000000</v>
      </c>
    </row>
    <row r="248" spans="1:8" ht="21.15" customHeight="1" outlineLevel="1">
      <c r="A248" s="164" t="s">
        <v>19</v>
      </c>
      <c r="B248" s="163" t="s">
        <v>504</v>
      </c>
      <c r="C248" s="163" t="s">
        <v>59</v>
      </c>
      <c r="D248" s="163" t="s">
        <v>352</v>
      </c>
      <c r="E248" s="163" t="s">
        <v>20</v>
      </c>
      <c r="F248" s="184">
        <f t="shared" si="74"/>
        <v>4000000</v>
      </c>
    </row>
    <row r="249" spans="1:8" ht="55.5" customHeight="1" outlineLevel="1">
      <c r="A249" s="164" t="s">
        <v>47</v>
      </c>
      <c r="B249" s="163" t="s">
        <v>504</v>
      </c>
      <c r="C249" s="163" t="s">
        <v>59</v>
      </c>
      <c r="D249" s="163" t="s">
        <v>352</v>
      </c>
      <c r="E249" s="163" t="s">
        <v>48</v>
      </c>
      <c r="F249" s="167">
        <f>потребность!L251</f>
        <v>4000000</v>
      </c>
    </row>
    <row r="250" spans="1:8" ht="36.75" customHeight="1" outlineLevel="1">
      <c r="A250" s="164" t="s">
        <v>262</v>
      </c>
      <c r="B250" s="163" t="s">
        <v>504</v>
      </c>
      <c r="C250" s="163" t="s">
        <v>59</v>
      </c>
      <c r="D250" s="163" t="s">
        <v>353</v>
      </c>
      <c r="E250" s="163" t="s">
        <v>6</v>
      </c>
      <c r="F250" s="184">
        <f t="shared" ref="F250:F251" si="75">F251</f>
        <v>10778000</v>
      </c>
    </row>
    <row r="251" spans="1:8" outlineLevel="1">
      <c r="A251" s="164" t="s">
        <v>19</v>
      </c>
      <c r="B251" s="163" t="s">
        <v>504</v>
      </c>
      <c r="C251" s="163" t="s">
        <v>59</v>
      </c>
      <c r="D251" s="163" t="s">
        <v>353</v>
      </c>
      <c r="E251" s="163" t="s">
        <v>20</v>
      </c>
      <c r="F251" s="184">
        <f t="shared" si="75"/>
        <v>10778000</v>
      </c>
    </row>
    <row r="252" spans="1:8" ht="54" outlineLevel="1">
      <c r="A252" s="164" t="s">
        <v>47</v>
      </c>
      <c r="B252" s="163" t="s">
        <v>504</v>
      </c>
      <c r="C252" s="163" t="s">
        <v>59</v>
      </c>
      <c r="D252" s="163" t="s">
        <v>353</v>
      </c>
      <c r="E252" s="163" t="s">
        <v>48</v>
      </c>
      <c r="F252" s="167">
        <f>потребность!L254</f>
        <v>10778000</v>
      </c>
    </row>
    <row r="253" spans="1:8" ht="54" outlineLevel="1">
      <c r="A253" s="164" t="s">
        <v>299</v>
      </c>
      <c r="B253" s="163" t="s">
        <v>504</v>
      </c>
      <c r="C253" s="163" t="s">
        <v>59</v>
      </c>
      <c r="D253" s="163" t="s">
        <v>390</v>
      </c>
      <c r="E253" s="163" t="s">
        <v>6</v>
      </c>
      <c r="F253" s="167">
        <f t="shared" ref="F253:F254" si="76">F254</f>
        <v>500000</v>
      </c>
    </row>
    <row r="254" spans="1:8" ht="36" outlineLevel="1">
      <c r="A254" s="164" t="s">
        <v>15</v>
      </c>
      <c r="B254" s="163" t="s">
        <v>504</v>
      </c>
      <c r="C254" s="163" t="s">
        <v>59</v>
      </c>
      <c r="D254" s="163" t="s">
        <v>390</v>
      </c>
      <c r="E254" s="163" t="s">
        <v>16</v>
      </c>
      <c r="F254" s="167">
        <f t="shared" si="76"/>
        <v>500000</v>
      </c>
    </row>
    <row r="255" spans="1:8" ht="49.65" customHeight="1" outlineLevel="1">
      <c r="A255" s="164" t="s">
        <v>17</v>
      </c>
      <c r="B255" s="163" t="s">
        <v>504</v>
      </c>
      <c r="C255" s="163" t="s">
        <v>59</v>
      </c>
      <c r="D255" s="163" t="s">
        <v>390</v>
      </c>
      <c r="E255" s="163" t="s">
        <v>18</v>
      </c>
      <c r="F255" s="167">
        <v>500000</v>
      </c>
    </row>
    <row r="256" spans="1:8" ht="56.25" customHeight="1" outlineLevel="1">
      <c r="A256" s="164" t="s">
        <v>263</v>
      </c>
      <c r="B256" s="163" t="s">
        <v>504</v>
      </c>
      <c r="C256" s="163" t="s">
        <v>59</v>
      </c>
      <c r="D256" s="163" t="s">
        <v>391</v>
      </c>
      <c r="E256" s="163" t="s">
        <v>6</v>
      </c>
      <c r="F256" s="167">
        <f t="shared" ref="F256:F257" si="77">F257</f>
        <v>200000</v>
      </c>
    </row>
    <row r="257" spans="1:6" ht="37.5" customHeight="1" outlineLevel="1">
      <c r="A257" s="164" t="s">
        <v>15</v>
      </c>
      <c r="B257" s="163" t="s">
        <v>504</v>
      </c>
      <c r="C257" s="163" t="s">
        <v>59</v>
      </c>
      <c r="D257" s="163" t="s">
        <v>391</v>
      </c>
      <c r="E257" s="163" t="s">
        <v>16</v>
      </c>
      <c r="F257" s="167">
        <f t="shared" si="77"/>
        <v>200000</v>
      </c>
    </row>
    <row r="258" spans="1:6" ht="37.5" customHeight="1" outlineLevel="1">
      <c r="A258" s="164" t="s">
        <v>17</v>
      </c>
      <c r="B258" s="163" t="s">
        <v>504</v>
      </c>
      <c r="C258" s="163" t="s">
        <v>59</v>
      </c>
      <c r="D258" s="163" t="s">
        <v>391</v>
      </c>
      <c r="E258" s="163" t="s">
        <v>18</v>
      </c>
      <c r="F258" s="167">
        <v>200000</v>
      </c>
    </row>
    <row r="259" spans="1:6" ht="0.75" customHeight="1" outlineLevel="1">
      <c r="A259" s="164" t="s">
        <v>723</v>
      </c>
      <c r="B259" s="163" t="s">
        <v>504</v>
      </c>
      <c r="C259" s="163" t="s">
        <v>59</v>
      </c>
      <c r="D259" s="163" t="s">
        <v>722</v>
      </c>
      <c r="E259" s="163" t="s">
        <v>6</v>
      </c>
      <c r="F259" s="167">
        <f t="shared" ref="F259:F260" si="78">F260</f>
        <v>0</v>
      </c>
    </row>
    <row r="260" spans="1:6" ht="37.5" hidden="1" customHeight="1" outlineLevel="1">
      <c r="A260" s="164" t="s">
        <v>15</v>
      </c>
      <c r="B260" s="163" t="s">
        <v>504</v>
      </c>
      <c r="C260" s="163" t="s">
        <v>59</v>
      </c>
      <c r="D260" s="163" t="s">
        <v>722</v>
      </c>
      <c r="E260" s="163" t="s">
        <v>16</v>
      </c>
      <c r="F260" s="167">
        <f t="shared" si="78"/>
        <v>0</v>
      </c>
    </row>
    <row r="261" spans="1:6" ht="37.5" hidden="1" customHeight="1" outlineLevel="1">
      <c r="A261" s="164" t="s">
        <v>17</v>
      </c>
      <c r="B261" s="163" t="s">
        <v>504</v>
      </c>
      <c r="C261" s="163" t="s">
        <v>59</v>
      </c>
      <c r="D261" s="163" t="s">
        <v>722</v>
      </c>
      <c r="E261" s="163" t="s">
        <v>18</v>
      </c>
      <c r="F261" s="167"/>
    </row>
    <row r="262" spans="1:6" ht="36" hidden="1" outlineLevel="1">
      <c r="A262" s="164" t="s">
        <v>693</v>
      </c>
      <c r="B262" s="163" t="s">
        <v>504</v>
      </c>
      <c r="C262" s="163" t="s">
        <v>59</v>
      </c>
      <c r="D262" s="163" t="s">
        <v>692</v>
      </c>
      <c r="E262" s="163" t="s">
        <v>6</v>
      </c>
      <c r="F262" s="167">
        <f t="shared" ref="F262:F263" si="79">F263</f>
        <v>0</v>
      </c>
    </row>
    <row r="263" spans="1:6" ht="36" hidden="1" outlineLevel="1">
      <c r="A263" s="164" t="s">
        <v>15</v>
      </c>
      <c r="B263" s="163" t="s">
        <v>504</v>
      </c>
      <c r="C263" s="163" t="s">
        <v>59</v>
      </c>
      <c r="D263" s="163" t="s">
        <v>692</v>
      </c>
      <c r="E263" s="163" t="s">
        <v>16</v>
      </c>
      <c r="F263" s="167">
        <f t="shared" si="79"/>
        <v>0</v>
      </c>
    </row>
    <row r="264" spans="1:6" ht="36" hidden="1" outlineLevel="1">
      <c r="A264" s="164" t="s">
        <v>17</v>
      </c>
      <c r="B264" s="163" t="s">
        <v>504</v>
      </c>
      <c r="C264" s="163" t="s">
        <v>59</v>
      </c>
      <c r="D264" s="163" t="s">
        <v>692</v>
      </c>
      <c r="E264" s="163" t="s">
        <v>18</v>
      </c>
      <c r="F264" s="167"/>
    </row>
    <row r="265" spans="1:6" ht="27.75" hidden="1" customHeight="1" outlineLevel="1">
      <c r="A265" s="200" t="s">
        <v>456</v>
      </c>
      <c r="B265" s="163" t="s">
        <v>504</v>
      </c>
      <c r="C265" s="163" t="s">
        <v>59</v>
      </c>
      <c r="D265" s="163" t="s">
        <v>714</v>
      </c>
      <c r="E265" s="163" t="s">
        <v>6</v>
      </c>
      <c r="F265" s="167">
        <f>F266</f>
        <v>0</v>
      </c>
    </row>
    <row r="266" spans="1:6" ht="42" hidden="1" customHeight="1" outlineLevel="1">
      <c r="A266" s="164" t="s">
        <v>461</v>
      </c>
      <c r="B266" s="163" t="s">
        <v>504</v>
      </c>
      <c r="C266" s="163" t="s">
        <v>59</v>
      </c>
      <c r="D266" s="163" t="s">
        <v>715</v>
      </c>
      <c r="E266" s="163" t="s">
        <v>6</v>
      </c>
      <c r="F266" s="167">
        <f>F267</f>
        <v>0</v>
      </c>
    </row>
    <row r="267" spans="1:6" ht="40.65" hidden="1" customHeight="1" outlineLevel="1">
      <c r="A267" s="164" t="s">
        <v>264</v>
      </c>
      <c r="B267" s="163" t="s">
        <v>504</v>
      </c>
      <c r="C267" s="163" t="s">
        <v>59</v>
      </c>
      <c r="D267" s="163" t="s">
        <v>715</v>
      </c>
      <c r="E267" s="163" t="s">
        <v>265</v>
      </c>
      <c r="F267" s="167">
        <f>F268</f>
        <v>0</v>
      </c>
    </row>
    <row r="268" spans="1:6" ht="24" hidden="1" customHeight="1" outlineLevel="1">
      <c r="A268" s="164" t="s">
        <v>266</v>
      </c>
      <c r="B268" s="163" t="s">
        <v>504</v>
      </c>
      <c r="C268" s="163" t="s">
        <v>59</v>
      </c>
      <c r="D268" s="163" t="s">
        <v>715</v>
      </c>
      <c r="E268" s="163" t="s">
        <v>267</v>
      </c>
      <c r="F268" s="167">
        <f>6142440.01-6142440.01</f>
        <v>0</v>
      </c>
    </row>
    <row r="269" spans="1:6" ht="27.75" customHeight="1" outlineLevel="1">
      <c r="A269" s="164" t="s">
        <v>61</v>
      </c>
      <c r="B269" s="163" t="s">
        <v>504</v>
      </c>
      <c r="C269" s="163" t="s">
        <v>62</v>
      </c>
      <c r="D269" s="163" t="s">
        <v>126</v>
      </c>
      <c r="E269" s="163" t="s">
        <v>6</v>
      </c>
      <c r="F269" s="167">
        <f>F270+F281+F295</f>
        <v>36556231.480000004</v>
      </c>
    </row>
    <row r="270" spans="1:6" ht="54" outlineLevel="1">
      <c r="A270" s="196" t="s">
        <v>874</v>
      </c>
      <c r="B270" s="163" t="s">
        <v>504</v>
      </c>
      <c r="C270" s="197" t="s">
        <v>62</v>
      </c>
      <c r="D270" s="197" t="s">
        <v>134</v>
      </c>
      <c r="E270" s="197" t="s">
        <v>6</v>
      </c>
      <c r="F270" s="167">
        <f>F271</f>
        <v>2992316</v>
      </c>
    </row>
    <row r="271" spans="1:6" ht="23.25" customHeight="1" outlineLevel="1">
      <c r="A271" s="164" t="s">
        <v>354</v>
      </c>
      <c r="B271" s="163" t="s">
        <v>504</v>
      </c>
      <c r="C271" s="163" t="s">
        <v>62</v>
      </c>
      <c r="D271" s="163" t="s">
        <v>232</v>
      </c>
      <c r="E271" s="163" t="s">
        <v>6</v>
      </c>
      <c r="F271" s="167">
        <f>F272+F278+F275</f>
        <v>2992316</v>
      </c>
    </row>
    <row r="272" spans="1:6" ht="27.75" customHeight="1" outlineLevel="1">
      <c r="A272" s="164" t="s">
        <v>360</v>
      </c>
      <c r="B272" s="163" t="s">
        <v>504</v>
      </c>
      <c r="C272" s="163" t="s">
        <v>62</v>
      </c>
      <c r="D272" s="163" t="s">
        <v>462</v>
      </c>
      <c r="E272" s="163" t="s">
        <v>6</v>
      </c>
      <c r="F272" s="167">
        <f t="shared" ref="F272:F273" si="80">F273</f>
        <v>200000</v>
      </c>
    </row>
    <row r="273" spans="1:8" s="266" customFormat="1" ht="36" outlineLevel="1">
      <c r="A273" s="33" t="s">
        <v>15</v>
      </c>
      <c r="B273" s="163" t="s">
        <v>504</v>
      </c>
      <c r="C273" s="163" t="s">
        <v>62</v>
      </c>
      <c r="D273" s="163" t="s">
        <v>462</v>
      </c>
      <c r="E273" s="163" t="s">
        <v>16</v>
      </c>
      <c r="F273" s="167">
        <f t="shared" si="80"/>
        <v>200000</v>
      </c>
      <c r="G273" s="265"/>
      <c r="H273" s="265"/>
    </row>
    <row r="274" spans="1:8" ht="36" outlineLevel="1">
      <c r="A274" s="33" t="s">
        <v>17</v>
      </c>
      <c r="B274" s="163" t="s">
        <v>504</v>
      </c>
      <c r="C274" s="163" t="s">
        <v>62</v>
      </c>
      <c r="D274" s="163" t="s">
        <v>462</v>
      </c>
      <c r="E274" s="163" t="s">
        <v>18</v>
      </c>
      <c r="F274" s="167">
        <v>200000</v>
      </c>
    </row>
    <row r="275" spans="1:8" ht="36" outlineLevel="1">
      <c r="A275" s="33" t="s">
        <v>782</v>
      </c>
      <c r="B275" s="163" t="s">
        <v>504</v>
      </c>
      <c r="C275" s="163" t="s">
        <v>62</v>
      </c>
      <c r="D275" s="163" t="s">
        <v>781</v>
      </c>
      <c r="E275" s="163" t="s">
        <v>6</v>
      </c>
      <c r="F275" s="167">
        <f>F276</f>
        <v>2292316</v>
      </c>
    </row>
    <row r="276" spans="1:8" ht="36" outlineLevel="1">
      <c r="A276" s="33" t="s">
        <v>15</v>
      </c>
      <c r="B276" s="163" t="s">
        <v>504</v>
      </c>
      <c r="C276" s="163" t="s">
        <v>62</v>
      </c>
      <c r="D276" s="163" t="s">
        <v>781</v>
      </c>
      <c r="E276" s="163" t="s">
        <v>16</v>
      </c>
      <c r="F276" s="167">
        <f t="shared" ref="F276" si="81">F277</f>
        <v>2292316</v>
      </c>
    </row>
    <row r="277" spans="1:8" ht="18.75" customHeight="1" outlineLevel="1">
      <c r="A277" s="33" t="s">
        <v>17</v>
      </c>
      <c r="B277" s="163" t="s">
        <v>504</v>
      </c>
      <c r="C277" s="163" t="s">
        <v>62</v>
      </c>
      <c r="D277" s="163" t="s">
        <v>781</v>
      </c>
      <c r="E277" s="163" t="s">
        <v>18</v>
      </c>
      <c r="F277" s="167">
        <v>2292316</v>
      </c>
    </row>
    <row r="278" spans="1:8" ht="36" outlineLevel="1">
      <c r="A278" s="164" t="s">
        <v>63</v>
      </c>
      <c r="B278" s="163" t="s">
        <v>504</v>
      </c>
      <c r="C278" s="163" t="s">
        <v>62</v>
      </c>
      <c r="D278" s="163" t="s">
        <v>355</v>
      </c>
      <c r="E278" s="163" t="s">
        <v>6</v>
      </c>
      <c r="F278" s="167">
        <f t="shared" ref="F278:F279" si="82">F279</f>
        <v>500000</v>
      </c>
    </row>
    <row r="279" spans="1:8" ht="36" outlineLevel="1">
      <c r="A279" s="164" t="s">
        <v>15</v>
      </c>
      <c r="B279" s="163" t="s">
        <v>504</v>
      </c>
      <c r="C279" s="163" t="s">
        <v>62</v>
      </c>
      <c r="D279" s="163" t="s">
        <v>355</v>
      </c>
      <c r="E279" s="163" t="s">
        <v>16</v>
      </c>
      <c r="F279" s="167">
        <f t="shared" si="82"/>
        <v>500000</v>
      </c>
    </row>
    <row r="280" spans="1:8" ht="22.65" customHeight="1" outlineLevel="1">
      <c r="A280" s="164" t="s">
        <v>17</v>
      </c>
      <c r="B280" s="163" t="s">
        <v>504</v>
      </c>
      <c r="C280" s="163" t="s">
        <v>62</v>
      </c>
      <c r="D280" s="163" t="s">
        <v>355</v>
      </c>
      <c r="E280" s="163" t="s">
        <v>18</v>
      </c>
      <c r="F280" s="184">
        <v>500000</v>
      </c>
    </row>
    <row r="281" spans="1:8" s="266" customFormat="1" ht="54" outlineLevel="1">
      <c r="A281" s="196" t="s">
        <v>512</v>
      </c>
      <c r="B281" s="197" t="s">
        <v>504</v>
      </c>
      <c r="C281" s="197" t="s">
        <v>62</v>
      </c>
      <c r="D281" s="197" t="s">
        <v>513</v>
      </c>
      <c r="E281" s="197" t="s">
        <v>6</v>
      </c>
      <c r="F281" s="167">
        <f>F282</f>
        <v>10857606.060000001</v>
      </c>
      <c r="G281" s="265"/>
      <c r="H281" s="265"/>
    </row>
    <row r="282" spans="1:8" ht="36" outlineLevel="1">
      <c r="A282" s="164" t="s">
        <v>514</v>
      </c>
      <c r="B282" s="163" t="s">
        <v>504</v>
      </c>
      <c r="C282" s="163" t="s">
        <v>62</v>
      </c>
      <c r="D282" s="163" t="s">
        <v>515</v>
      </c>
      <c r="E282" s="163" t="s">
        <v>6</v>
      </c>
      <c r="F282" s="167">
        <f>F283+F286+F289+F292</f>
        <v>10857606.060000001</v>
      </c>
    </row>
    <row r="283" spans="1:8" ht="56.25" customHeight="1" outlineLevel="1">
      <c r="A283" s="164" t="s">
        <v>516</v>
      </c>
      <c r="B283" s="163" t="s">
        <v>504</v>
      </c>
      <c r="C283" s="163" t="s">
        <v>62</v>
      </c>
      <c r="D283" s="163" t="s">
        <v>517</v>
      </c>
      <c r="E283" s="163" t="s">
        <v>6</v>
      </c>
      <c r="F283" s="167">
        <f t="shared" ref="F283:F284" si="83">F284</f>
        <v>1500000</v>
      </c>
    </row>
    <row r="284" spans="1:8" ht="36" outlineLevel="1">
      <c r="A284" s="164" t="s">
        <v>15</v>
      </c>
      <c r="B284" s="163" t="s">
        <v>504</v>
      </c>
      <c r="C284" s="163" t="s">
        <v>62</v>
      </c>
      <c r="D284" s="163" t="s">
        <v>517</v>
      </c>
      <c r="E284" s="163" t="s">
        <v>16</v>
      </c>
      <c r="F284" s="167">
        <f t="shared" si="83"/>
        <v>1500000</v>
      </c>
    </row>
    <row r="285" spans="1:8" ht="36" outlineLevel="1">
      <c r="A285" s="164" t="s">
        <v>17</v>
      </c>
      <c r="B285" s="163" t="s">
        <v>504</v>
      </c>
      <c r="C285" s="163" t="s">
        <v>62</v>
      </c>
      <c r="D285" s="163" t="s">
        <v>517</v>
      </c>
      <c r="E285" s="163" t="s">
        <v>18</v>
      </c>
      <c r="F285" s="184">
        <f>потребность!L287</f>
        <v>1500000</v>
      </c>
    </row>
    <row r="286" spans="1:8" ht="38.25" customHeight="1" outlineLevel="1">
      <c r="A286" s="164" t="s">
        <v>518</v>
      </c>
      <c r="B286" s="163" t="s">
        <v>504</v>
      </c>
      <c r="C286" s="163" t="s">
        <v>62</v>
      </c>
      <c r="D286" s="163" t="s">
        <v>519</v>
      </c>
      <c r="E286" s="163" t="s">
        <v>6</v>
      </c>
      <c r="F286" s="167">
        <f t="shared" ref="F286:F287" si="84">F287</f>
        <v>3621000</v>
      </c>
    </row>
    <row r="287" spans="1:8" ht="36" outlineLevel="1">
      <c r="A287" s="164" t="s">
        <v>15</v>
      </c>
      <c r="B287" s="163" t="s">
        <v>504</v>
      </c>
      <c r="C287" s="163" t="s">
        <v>62</v>
      </c>
      <c r="D287" s="163" t="s">
        <v>519</v>
      </c>
      <c r="E287" s="163" t="s">
        <v>16</v>
      </c>
      <c r="F287" s="167">
        <f t="shared" si="84"/>
        <v>3621000</v>
      </c>
    </row>
    <row r="288" spans="1:8" ht="36" outlineLevel="1">
      <c r="A288" s="164" t="s">
        <v>17</v>
      </c>
      <c r="B288" s="163" t="s">
        <v>504</v>
      </c>
      <c r="C288" s="163" t="s">
        <v>62</v>
      </c>
      <c r="D288" s="163" t="s">
        <v>519</v>
      </c>
      <c r="E288" s="163" t="s">
        <v>18</v>
      </c>
      <c r="F288" s="184">
        <v>3621000</v>
      </c>
    </row>
    <row r="289" spans="1:8" ht="36" outlineLevel="1">
      <c r="A289" s="164" t="s">
        <v>520</v>
      </c>
      <c r="B289" s="163" t="s">
        <v>504</v>
      </c>
      <c r="C289" s="163" t="s">
        <v>62</v>
      </c>
      <c r="D289" s="163" t="s">
        <v>521</v>
      </c>
      <c r="E289" s="163" t="s">
        <v>6</v>
      </c>
      <c r="F289" s="167">
        <f t="shared" ref="F289:F290" si="85">F290</f>
        <v>5676000</v>
      </c>
    </row>
    <row r="290" spans="1:8" ht="36" outlineLevel="1">
      <c r="A290" s="164" t="s">
        <v>15</v>
      </c>
      <c r="B290" s="163" t="s">
        <v>504</v>
      </c>
      <c r="C290" s="163" t="s">
        <v>62</v>
      </c>
      <c r="D290" s="163" t="s">
        <v>521</v>
      </c>
      <c r="E290" s="163" t="s">
        <v>16</v>
      </c>
      <c r="F290" s="167">
        <f t="shared" si="85"/>
        <v>5676000</v>
      </c>
    </row>
    <row r="291" spans="1:8" ht="36" outlineLevel="1">
      <c r="A291" s="164" t="s">
        <v>17</v>
      </c>
      <c r="B291" s="163" t="s">
        <v>504</v>
      </c>
      <c r="C291" s="163" t="s">
        <v>62</v>
      </c>
      <c r="D291" s="163" t="s">
        <v>521</v>
      </c>
      <c r="E291" s="163" t="s">
        <v>18</v>
      </c>
      <c r="F291" s="184">
        <f>потребность!L293</f>
        <v>5676000</v>
      </c>
    </row>
    <row r="292" spans="1:8" ht="36" outlineLevel="1">
      <c r="A292" s="164" t="s">
        <v>693</v>
      </c>
      <c r="B292" s="163" t="s">
        <v>504</v>
      </c>
      <c r="C292" s="163" t="s">
        <v>62</v>
      </c>
      <c r="D292" s="163" t="s">
        <v>905</v>
      </c>
      <c r="E292" s="163" t="s">
        <v>6</v>
      </c>
      <c r="F292" s="167">
        <f>F293</f>
        <v>60606.06</v>
      </c>
    </row>
    <row r="293" spans="1:8" ht="36" outlineLevel="1">
      <c r="A293" s="164" t="s">
        <v>15</v>
      </c>
      <c r="B293" s="163" t="s">
        <v>504</v>
      </c>
      <c r="C293" s="163" t="s">
        <v>62</v>
      </c>
      <c r="D293" s="163" t="s">
        <v>905</v>
      </c>
      <c r="E293" s="163" t="s">
        <v>16</v>
      </c>
      <c r="F293" s="167">
        <f>F294</f>
        <v>60606.06</v>
      </c>
    </row>
    <row r="294" spans="1:8" ht="36" outlineLevel="1">
      <c r="A294" s="164" t="s">
        <v>17</v>
      </c>
      <c r="B294" s="163" t="s">
        <v>504</v>
      </c>
      <c r="C294" s="163" t="s">
        <v>62</v>
      </c>
      <c r="D294" s="163" t="s">
        <v>905</v>
      </c>
      <c r="E294" s="163" t="s">
        <v>18</v>
      </c>
      <c r="F294" s="184">
        <f>62000-1393.94</f>
        <v>60606.06</v>
      </c>
    </row>
    <row r="295" spans="1:8" s="266" customFormat="1" ht="54" outlineLevel="1">
      <c r="A295" s="196" t="s">
        <v>522</v>
      </c>
      <c r="B295" s="197" t="s">
        <v>504</v>
      </c>
      <c r="C295" s="197" t="s">
        <v>62</v>
      </c>
      <c r="D295" s="197" t="s">
        <v>523</v>
      </c>
      <c r="E295" s="197" t="s">
        <v>6</v>
      </c>
      <c r="F295" s="167">
        <f>F296+F304</f>
        <v>22706309.420000002</v>
      </c>
      <c r="G295" s="265"/>
      <c r="H295" s="265"/>
    </row>
    <row r="296" spans="1:8" s="266" customFormat="1" ht="54" outlineLevel="1">
      <c r="A296" s="196" t="s">
        <v>554</v>
      </c>
      <c r="B296" s="197" t="s">
        <v>504</v>
      </c>
      <c r="C296" s="197" t="s">
        <v>62</v>
      </c>
      <c r="D296" s="197" t="s">
        <v>555</v>
      </c>
      <c r="E296" s="197" t="s">
        <v>6</v>
      </c>
      <c r="F296" s="167">
        <f t="shared" ref="F296" si="86">F297+F301</f>
        <v>6967934.4000000004</v>
      </c>
      <c r="G296" s="265"/>
      <c r="H296" s="265"/>
    </row>
    <row r="297" spans="1:8" outlineLevel="1">
      <c r="A297" s="164" t="s">
        <v>553</v>
      </c>
      <c r="B297" s="163" t="s">
        <v>504</v>
      </c>
      <c r="C297" s="163" t="s">
        <v>62</v>
      </c>
      <c r="D297" s="163" t="s">
        <v>556</v>
      </c>
      <c r="E297" s="163" t="s">
        <v>6</v>
      </c>
      <c r="F297" s="167">
        <f t="shared" ref="F297:F299" si="87">F298</f>
        <v>6616389.0700000003</v>
      </c>
    </row>
    <row r="298" spans="1:8" ht="36" outlineLevel="1">
      <c r="A298" s="164" t="s">
        <v>552</v>
      </c>
      <c r="B298" s="163" t="s">
        <v>504</v>
      </c>
      <c r="C298" s="163" t="s">
        <v>62</v>
      </c>
      <c r="D298" s="163" t="s">
        <v>557</v>
      </c>
      <c r="E298" s="163" t="s">
        <v>6</v>
      </c>
      <c r="F298" s="167">
        <f t="shared" si="87"/>
        <v>6616389.0700000003</v>
      </c>
    </row>
    <row r="299" spans="1:8" ht="36" outlineLevel="1">
      <c r="A299" s="164" t="s">
        <v>15</v>
      </c>
      <c r="B299" s="163" t="s">
        <v>504</v>
      </c>
      <c r="C299" s="163" t="s">
        <v>62</v>
      </c>
      <c r="D299" s="163" t="s">
        <v>557</v>
      </c>
      <c r="E299" s="163" t="s">
        <v>16</v>
      </c>
      <c r="F299" s="167">
        <f t="shared" si="87"/>
        <v>6616389.0700000003</v>
      </c>
    </row>
    <row r="300" spans="1:8" ht="36" outlineLevel="1">
      <c r="A300" s="164" t="s">
        <v>17</v>
      </c>
      <c r="B300" s="163" t="s">
        <v>504</v>
      </c>
      <c r="C300" s="163" t="s">
        <v>62</v>
      </c>
      <c r="D300" s="163" t="s">
        <v>557</v>
      </c>
      <c r="E300" s="163" t="s">
        <v>18</v>
      </c>
      <c r="F300" s="167">
        <f>6583307.11+33081.96</f>
        <v>6616389.0700000003</v>
      </c>
    </row>
    <row r="301" spans="1:8" ht="36" outlineLevel="1">
      <c r="A301" s="33" t="s">
        <v>691</v>
      </c>
      <c r="B301" s="163" t="s">
        <v>504</v>
      </c>
      <c r="C301" s="163" t="s">
        <v>62</v>
      </c>
      <c r="D301" s="163" t="s">
        <v>738</v>
      </c>
      <c r="E301" s="163" t="s">
        <v>6</v>
      </c>
      <c r="F301" s="167">
        <f t="shared" ref="F301:F302" si="88">F302</f>
        <v>351545.33</v>
      </c>
    </row>
    <row r="302" spans="1:8" ht="36" outlineLevel="1">
      <c r="A302" s="164" t="s">
        <v>15</v>
      </c>
      <c r="B302" s="163" t="s">
        <v>504</v>
      </c>
      <c r="C302" s="163" t="s">
        <v>62</v>
      </c>
      <c r="D302" s="163" t="s">
        <v>738</v>
      </c>
      <c r="E302" s="163" t="s">
        <v>16</v>
      </c>
      <c r="F302" s="167">
        <f t="shared" si="88"/>
        <v>351545.33</v>
      </c>
    </row>
    <row r="303" spans="1:8" ht="36" outlineLevel="1">
      <c r="A303" s="164" t="s">
        <v>17</v>
      </c>
      <c r="B303" s="163" t="s">
        <v>504</v>
      </c>
      <c r="C303" s="163" t="s">
        <v>62</v>
      </c>
      <c r="D303" s="163" t="s">
        <v>738</v>
      </c>
      <c r="E303" s="163" t="s">
        <v>18</v>
      </c>
      <c r="F303" s="167">
        <f>215859.46+109286.29+26399.58</f>
        <v>351545.33</v>
      </c>
    </row>
    <row r="304" spans="1:8" s="266" customFormat="1" ht="36" outlineLevel="1">
      <c r="A304" s="208" t="s">
        <v>558</v>
      </c>
      <c r="B304" s="163" t="s">
        <v>504</v>
      </c>
      <c r="C304" s="163" t="s">
        <v>62</v>
      </c>
      <c r="D304" s="197" t="s">
        <v>560</v>
      </c>
      <c r="E304" s="197" t="s">
        <v>6</v>
      </c>
      <c r="F304" s="167">
        <f t="shared" ref="F304:F310" si="89">F305</f>
        <v>15738375.02</v>
      </c>
      <c r="G304" s="265"/>
      <c r="H304" s="265"/>
    </row>
    <row r="305" spans="1:8" s="266" customFormat="1" ht="36" outlineLevel="1">
      <c r="A305" s="208" t="s">
        <v>559</v>
      </c>
      <c r="B305" s="163" t="s">
        <v>504</v>
      </c>
      <c r="C305" s="163" t="s">
        <v>62</v>
      </c>
      <c r="D305" s="197" t="s">
        <v>561</v>
      </c>
      <c r="E305" s="197" t="s">
        <v>6</v>
      </c>
      <c r="F305" s="171">
        <f>F306+F309+F312</f>
        <v>15738375.02</v>
      </c>
      <c r="G305" s="265"/>
      <c r="H305" s="265"/>
    </row>
    <row r="306" spans="1:8" s="266" customFormat="1" ht="57.15" customHeight="1" outlineLevel="1">
      <c r="A306" s="33" t="s">
        <v>573</v>
      </c>
      <c r="B306" s="163" t="s">
        <v>504</v>
      </c>
      <c r="C306" s="163" t="s">
        <v>62</v>
      </c>
      <c r="D306" s="163" t="s">
        <v>598</v>
      </c>
      <c r="E306" s="163" t="s">
        <v>6</v>
      </c>
      <c r="F306" s="167">
        <f t="shared" ref="F306:F307" si="90">F307</f>
        <v>6855579.5599999996</v>
      </c>
      <c r="G306" s="265"/>
      <c r="H306" s="265"/>
    </row>
    <row r="307" spans="1:8" s="266" customFormat="1" ht="36" outlineLevel="1">
      <c r="A307" s="164" t="s">
        <v>15</v>
      </c>
      <c r="B307" s="163" t="s">
        <v>504</v>
      </c>
      <c r="C307" s="163" t="s">
        <v>62</v>
      </c>
      <c r="D307" s="163" t="s">
        <v>598</v>
      </c>
      <c r="E307" s="163" t="s">
        <v>16</v>
      </c>
      <c r="F307" s="167">
        <f t="shared" si="90"/>
        <v>6855579.5599999996</v>
      </c>
      <c r="G307" s="265"/>
      <c r="H307" s="265"/>
    </row>
    <row r="308" spans="1:8" s="266" customFormat="1" ht="36" outlineLevel="1">
      <c r="A308" s="164" t="s">
        <v>17</v>
      </c>
      <c r="B308" s="163" t="s">
        <v>504</v>
      </c>
      <c r="C308" s="163" t="s">
        <v>62</v>
      </c>
      <c r="D308" s="163" t="s">
        <v>598</v>
      </c>
      <c r="E308" s="163" t="s">
        <v>18</v>
      </c>
      <c r="F308" s="167">
        <v>6855579.5599999996</v>
      </c>
      <c r="G308" s="265"/>
      <c r="H308" s="265"/>
    </row>
    <row r="309" spans="1:8" ht="40.65" customHeight="1" outlineLevel="1">
      <c r="A309" s="33" t="s">
        <v>563</v>
      </c>
      <c r="B309" s="163" t="s">
        <v>504</v>
      </c>
      <c r="C309" s="163" t="s">
        <v>62</v>
      </c>
      <c r="D309" s="163" t="s">
        <v>562</v>
      </c>
      <c r="E309" s="163" t="s">
        <v>6</v>
      </c>
      <c r="F309" s="167">
        <f t="shared" si="89"/>
        <v>403331.62</v>
      </c>
    </row>
    <row r="310" spans="1:8" ht="36" outlineLevel="1">
      <c r="A310" s="164" t="s">
        <v>15</v>
      </c>
      <c r="B310" s="163" t="s">
        <v>504</v>
      </c>
      <c r="C310" s="163" t="s">
        <v>62</v>
      </c>
      <c r="D310" s="163" t="s">
        <v>562</v>
      </c>
      <c r="E310" s="163" t="s">
        <v>16</v>
      </c>
      <c r="F310" s="167">
        <f t="shared" si="89"/>
        <v>403331.62</v>
      </c>
    </row>
    <row r="311" spans="1:8" ht="36" outlineLevel="1">
      <c r="A311" s="164" t="s">
        <v>17</v>
      </c>
      <c r="B311" s="163" t="s">
        <v>504</v>
      </c>
      <c r="C311" s="163" t="s">
        <v>62</v>
      </c>
      <c r="D311" s="163" t="s">
        <v>562</v>
      </c>
      <c r="E311" s="163" t="s">
        <v>18</v>
      </c>
      <c r="F311" s="184">
        <v>403331.62</v>
      </c>
    </row>
    <row r="312" spans="1:8" ht="36" outlineLevel="1">
      <c r="A312" s="164" t="s">
        <v>691</v>
      </c>
      <c r="B312" s="163" t="s">
        <v>504</v>
      </c>
      <c r="C312" s="163" t="s">
        <v>62</v>
      </c>
      <c r="D312" s="163" t="s">
        <v>690</v>
      </c>
      <c r="E312" s="163" t="s">
        <v>6</v>
      </c>
      <c r="F312" s="167">
        <f t="shared" ref="F312:F313" si="91">F313</f>
        <v>8479463.8399999999</v>
      </c>
    </row>
    <row r="313" spans="1:8" ht="36" outlineLevel="1">
      <c r="A313" s="164" t="s">
        <v>15</v>
      </c>
      <c r="B313" s="163" t="s">
        <v>504</v>
      </c>
      <c r="C313" s="163" t="s">
        <v>62</v>
      </c>
      <c r="D313" s="163" t="s">
        <v>690</v>
      </c>
      <c r="E313" s="163" t="s">
        <v>16</v>
      </c>
      <c r="F313" s="167">
        <f t="shared" si="91"/>
        <v>8479463.8399999999</v>
      </c>
    </row>
    <row r="314" spans="1:8" ht="38.25" customHeight="1" outlineLevel="1">
      <c r="A314" s="164" t="s">
        <v>17</v>
      </c>
      <c r="B314" s="163" t="s">
        <v>504</v>
      </c>
      <c r="C314" s="163" t="s">
        <v>62</v>
      </c>
      <c r="D314" s="163" t="s">
        <v>690</v>
      </c>
      <c r="E314" s="163" t="s">
        <v>18</v>
      </c>
      <c r="F314" s="184">
        <f>потребность!L313</f>
        <v>8479463.8399999999</v>
      </c>
    </row>
    <row r="315" spans="1:8" ht="20.25" hidden="1" customHeight="1" outlineLevel="1">
      <c r="A315" s="339"/>
      <c r="B315" s="339"/>
      <c r="C315" s="339"/>
      <c r="D315" s="339"/>
      <c r="E315" s="339"/>
      <c r="F315" s="339"/>
    </row>
    <row r="316" spans="1:8" s="266" customFormat="1" ht="15.6" hidden="1" outlineLevel="1">
      <c r="A316" s="340"/>
      <c r="B316" s="340"/>
      <c r="C316" s="340"/>
      <c r="D316" s="340"/>
      <c r="E316" s="340"/>
      <c r="F316" s="340"/>
      <c r="G316" s="265"/>
      <c r="H316" s="265"/>
    </row>
    <row r="317" spans="1:8" ht="15.6" hidden="1" outlineLevel="1">
      <c r="A317" s="339"/>
      <c r="B317" s="339"/>
      <c r="C317" s="339"/>
      <c r="D317" s="339"/>
      <c r="E317" s="339"/>
      <c r="F317" s="339"/>
    </row>
    <row r="318" spans="1:8" outlineLevel="1">
      <c r="A318" s="164" t="s">
        <v>292</v>
      </c>
      <c r="B318" s="163" t="s">
        <v>504</v>
      </c>
      <c r="C318" s="163" t="s">
        <v>293</v>
      </c>
      <c r="D318" s="163" t="s">
        <v>126</v>
      </c>
      <c r="E318" s="163" t="s">
        <v>6</v>
      </c>
      <c r="F318" s="184">
        <f t="shared" ref="F318:F319" si="92">F319</f>
        <v>7460868.7599999998</v>
      </c>
    </row>
    <row r="319" spans="1:8" ht="54" outlineLevel="1">
      <c r="A319" s="196" t="s">
        <v>872</v>
      </c>
      <c r="B319" s="197" t="s">
        <v>504</v>
      </c>
      <c r="C319" s="197" t="s">
        <v>293</v>
      </c>
      <c r="D319" s="197" t="s">
        <v>134</v>
      </c>
      <c r="E319" s="197" t="s">
        <v>6</v>
      </c>
      <c r="F319" s="209">
        <f t="shared" si="92"/>
        <v>7460868.7599999998</v>
      </c>
    </row>
    <row r="320" spans="1:8" ht="36" outlineLevel="1">
      <c r="A320" s="164" t="s">
        <v>873</v>
      </c>
      <c r="B320" s="163" t="s">
        <v>504</v>
      </c>
      <c r="C320" s="163" t="s">
        <v>293</v>
      </c>
      <c r="D320" s="163" t="s">
        <v>350</v>
      </c>
      <c r="E320" s="163" t="s">
        <v>6</v>
      </c>
      <c r="F320" s="184">
        <f t="shared" ref="F320" si="93">F321+F324</f>
        <v>7460868.7599999998</v>
      </c>
    </row>
    <row r="321" spans="1:8" ht="37.5" customHeight="1" outlineLevel="1">
      <c r="A321" s="187" t="s">
        <v>569</v>
      </c>
      <c r="B321" s="163" t="s">
        <v>504</v>
      </c>
      <c r="C321" s="163" t="s">
        <v>293</v>
      </c>
      <c r="D321" s="163" t="s">
        <v>599</v>
      </c>
      <c r="E321" s="163" t="s">
        <v>6</v>
      </c>
      <c r="F321" s="184">
        <f t="shared" ref="F321:F322" si="94">F322</f>
        <v>7160868.7599999998</v>
      </c>
    </row>
    <row r="322" spans="1:8" outlineLevel="1">
      <c r="A322" s="164" t="s">
        <v>19</v>
      </c>
      <c r="B322" s="163" t="s">
        <v>504</v>
      </c>
      <c r="C322" s="163" t="s">
        <v>293</v>
      </c>
      <c r="D322" s="163" t="s">
        <v>599</v>
      </c>
      <c r="E322" s="163" t="s">
        <v>20</v>
      </c>
      <c r="F322" s="184">
        <f t="shared" si="94"/>
        <v>7160868.7599999998</v>
      </c>
    </row>
    <row r="323" spans="1:8" ht="54" outlineLevel="1">
      <c r="A323" s="164" t="s">
        <v>47</v>
      </c>
      <c r="B323" s="163" t="s">
        <v>504</v>
      </c>
      <c r="C323" s="163" t="s">
        <v>293</v>
      </c>
      <c r="D323" s="163" t="s">
        <v>599</v>
      </c>
      <c r="E323" s="163" t="s">
        <v>48</v>
      </c>
      <c r="F323" s="184">
        <v>7160868.7599999998</v>
      </c>
    </row>
    <row r="324" spans="1:8" s="266" customFormat="1" ht="18.75" customHeight="1" outlineLevel="1">
      <c r="A324" s="164" t="s">
        <v>306</v>
      </c>
      <c r="B324" s="163" t="s">
        <v>504</v>
      </c>
      <c r="C324" s="163" t="s">
        <v>293</v>
      </c>
      <c r="D324" s="163" t="s">
        <v>357</v>
      </c>
      <c r="E324" s="163" t="s">
        <v>6</v>
      </c>
      <c r="F324" s="184">
        <f t="shared" ref="F324:F325" si="95">F325</f>
        <v>300000</v>
      </c>
      <c r="G324" s="265"/>
      <c r="H324" s="265"/>
    </row>
    <row r="325" spans="1:8" outlineLevel="2">
      <c r="A325" s="164" t="s">
        <v>19</v>
      </c>
      <c r="B325" s="163" t="s">
        <v>504</v>
      </c>
      <c r="C325" s="163" t="s">
        <v>293</v>
      </c>
      <c r="D325" s="163" t="s">
        <v>357</v>
      </c>
      <c r="E325" s="163" t="s">
        <v>20</v>
      </c>
      <c r="F325" s="184">
        <f t="shared" si="95"/>
        <v>300000</v>
      </c>
    </row>
    <row r="326" spans="1:8" s="266" customFormat="1" ht="59.25" customHeight="1" outlineLevel="3">
      <c r="A326" s="164" t="s">
        <v>47</v>
      </c>
      <c r="B326" s="163" t="s">
        <v>504</v>
      </c>
      <c r="C326" s="163" t="s">
        <v>293</v>
      </c>
      <c r="D326" s="163" t="s">
        <v>357</v>
      </c>
      <c r="E326" s="163" t="s">
        <v>48</v>
      </c>
      <c r="F326" s="218">
        <v>300000</v>
      </c>
      <c r="G326" s="265"/>
      <c r="H326" s="265"/>
    </row>
    <row r="327" spans="1:8" ht="27" customHeight="1" outlineLevel="3">
      <c r="A327" s="196" t="s">
        <v>64</v>
      </c>
      <c r="B327" s="163" t="s">
        <v>504</v>
      </c>
      <c r="C327" s="197" t="s">
        <v>65</v>
      </c>
      <c r="D327" s="197" t="s">
        <v>126</v>
      </c>
      <c r="E327" s="197" t="s">
        <v>6</v>
      </c>
      <c r="F327" s="171">
        <f t="shared" ref="F327" si="96">F328</f>
        <v>515000</v>
      </c>
    </row>
    <row r="328" spans="1:8" ht="23.25" customHeight="1" outlineLevel="3">
      <c r="A328" s="164" t="s">
        <v>66</v>
      </c>
      <c r="B328" s="163" t="s">
        <v>504</v>
      </c>
      <c r="C328" s="163" t="s">
        <v>67</v>
      </c>
      <c r="D328" s="163" t="s">
        <v>126</v>
      </c>
      <c r="E328" s="163" t="s">
        <v>6</v>
      </c>
      <c r="F328" s="167">
        <f>F329+F338</f>
        <v>515000</v>
      </c>
    </row>
    <row r="329" spans="1:8" ht="43.5" customHeight="1" outlineLevel="3">
      <c r="A329" s="196" t="s">
        <v>870</v>
      </c>
      <c r="B329" s="197" t="s">
        <v>504</v>
      </c>
      <c r="C329" s="197" t="s">
        <v>67</v>
      </c>
      <c r="D329" s="197" t="s">
        <v>135</v>
      </c>
      <c r="E329" s="197" t="s">
        <v>6</v>
      </c>
      <c r="F329" s="171">
        <f>F330+F334</f>
        <v>470000</v>
      </c>
    </row>
    <row r="330" spans="1:8" ht="62.4" customHeight="1" outlineLevel="3">
      <c r="A330" s="164" t="s">
        <v>871</v>
      </c>
      <c r="B330" s="163" t="s">
        <v>504</v>
      </c>
      <c r="C330" s="163" t="s">
        <v>67</v>
      </c>
      <c r="D330" s="163" t="s">
        <v>392</v>
      </c>
      <c r="E330" s="163" t="s">
        <v>6</v>
      </c>
      <c r="F330" s="167">
        <f>F331</f>
        <v>440000</v>
      </c>
    </row>
    <row r="331" spans="1:8" ht="30.15" customHeight="1" outlineLevel="7">
      <c r="A331" s="164" t="s">
        <v>244</v>
      </c>
      <c r="B331" s="163" t="s">
        <v>504</v>
      </c>
      <c r="C331" s="163" t="s">
        <v>67</v>
      </c>
      <c r="D331" s="163" t="s">
        <v>361</v>
      </c>
      <c r="E331" s="163" t="s">
        <v>6</v>
      </c>
      <c r="F331" s="167">
        <f t="shared" ref="F331:F332" si="97">F332</f>
        <v>440000</v>
      </c>
    </row>
    <row r="332" spans="1:8" ht="25.5" customHeight="1" outlineLevel="5">
      <c r="A332" s="164" t="s">
        <v>15</v>
      </c>
      <c r="B332" s="163" t="s">
        <v>504</v>
      </c>
      <c r="C332" s="163" t="s">
        <v>67</v>
      </c>
      <c r="D332" s="163" t="s">
        <v>361</v>
      </c>
      <c r="E332" s="163" t="s">
        <v>16</v>
      </c>
      <c r="F332" s="167">
        <f t="shared" si="97"/>
        <v>440000</v>
      </c>
    </row>
    <row r="333" spans="1:8" ht="36" outlineLevel="6">
      <c r="A333" s="164" t="s">
        <v>17</v>
      </c>
      <c r="B333" s="163" t="s">
        <v>504</v>
      </c>
      <c r="C333" s="163" t="s">
        <v>67</v>
      </c>
      <c r="D333" s="163" t="s">
        <v>361</v>
      </c>
      <c r="E333" s="163" t="s">
        <v>18</v>
      </c>
      <c r="F333" s="167">
        <v>440000</v>
      </c>
    </row>
    <row r="334" spans="1:8" ht="44.4" customHeight="1" outlineLevel="7">
      <c r="A334" s="164" t="s">
        <v>362</v>
      </c>
      <c r="B334" s="163" t="s">
        <v>504</v>
      </c>
      <c r="C334" s="163" t="s">
        <v>67</v>
      </c>
      <c r="D334" s="163" t="s">
        <v>246</v>
      </c>
      <c r="E334" s="163" t="s">
        <v>6</v>
      </c>
      <c r="F334" s="184">
        <f>F335</f>
        <v>30000</v>
      </c>
    </row>
    <row r="335" spans="1:8" s="266" customFormat="1" ht="27" customHeight="1" outlineLevel="3">
      <c r="A335" s="164" t="s">
        <v>68</v>
      </c>
      <c r="B335" s="163" t="s">
        <v>504</v>
      </c>
      <c r="C335" s="163" t="s">
        <v>67</v>
      </c>
      <c r="D335" s="163" t="s">
        <v>245</v>
      </c>
      <c r="E335" s="163" t="s">
        <v>6</v>
      </c>
      <c r="F335" s="167">
        <f t="shared" ref="F335:F336" si="98">F336</f>
        <v>30000</v>
      </c>
      <c r="G335" s="265"/>
      <c r="H335" s="265"/>
    </row>
    <row r="336" spans="1:8" ht="36" outlineLevel="5">
      <c r="A336" s="164" t="s">
        <v>15</v>
      </c>
      <c r="B336" s="163" t="s">
        <v>504</v>
      </c>
      <c r="C336" s="163" t="s">
        <v>67</v>
      </c>
      <c r="D336" s="163" t="s">
        <v>245</v>
      </c>
      <c r="E336" s="163" t="s">
        <v>16</v>
      </c>
      <c r="F336" s="167">
        <f t="shared" si="98"/>
        <v>30000</v>
      </c>
    </row>
    <row r="337" spans="1:8" ht="36" outlineLevel="5">
      <c r="A337" s="164" t="s">
        <v>17</v>
      </c>
      <c r="B337" s="163" t="s">
        <v>504</v>
      </c>
      <c r="C337" s="163" t="s">
        <v>67</v>
      </c>
      <c r="D337" s="163" t="s">
        <v>245</v>
      </c>
      <c r="E337" s="163" t="s">
        <v>18</v>
      </c>
      <c r="F337" s="167">
        <v>30000</v>
      </c>
    </row>
    <row r="338" spans="1:8" ht="72" outlineLevel="6">
      <c r="A338" s="196" t="s">
        <v>869</v>
      </c>
      <c r="B338" s="197" t="s">
        <v>504</v>
      </c>
      <c r="C338" s="197" t="s">
        <v>67</v>
      </c>
      <c r="D338" s="197" t="s">
        <v>363</v>
      </c>
      <c r="E338" s="197" t="s">
        <v>6</v>
      </c>
      <c r="F338" s="171">
        <f>F339</f>
        <v>45000</v>
      </c>
    </row>
    <row r="339" spans="1:8" ht="41.25" customHeight="1" outlineLevel="7">
      <c r="A339" s="164" t="s">
        <v>364</v>
      </c>
      <c r="B339" s="163" t="s">
        <v>504</v>
      </c>
      <c r="C339" s="163" t="s">
        <v>67</v>
      </c>
      <c r="D339" s="163" t="s">
        <v>365</v>
      </c>
      <c r="E339" s="163" t="s">
        <v>6</v>
      </c>
      <c r="F339" s="167">
        <f>F341</f>
        <v>45000</v>
      </c>
    </row>
    <row r="340" spans="1:8" s="266" customFormat="1" outlineLevel="1">
      <c r="A340" s="164" t="s">
        <v>366</v>
      </c>
      <c r="B340" s="163" t="s">
        <v>504</v>
      </c>
      <c r="C340" s="163" t="s">
        <v>67</v>
      </c>
      <c r="D340" s="163" t="s">
        <v>367</v>
      </c>
      <c r="E340" s="163" t="s">
        <v>6</v>
      </c>
      <c r="F340" s="167">
        <f>F341</f>
        <v>45000</v>
      </c>
      <c r="G340" s="265"/>
      <c r="H340" s="265"/>
    </row>
    <row r="341" spans="1:8" ht="36" outlineLevel="2">
      <c r="A341" s="164" t="s">
        <v>15</v>
      </c>
      <c r="B341" s="163" t="s">
        <v>504</v>
      </c>
      <c r="C341" s="163" t="s">
        <v>67</v>
      </c>
      <c r="D341" s="163" t="s">
        <v>367</v>
      </c>
      <c r="E341" s="163" t="s">
        <v>16</v>
      </c>
      <c r="F341" s="167">
        <f t="shared" ref="F341" si="99">F342</f>
        <v>45000</v>
      </c>
    </row>
    <row r="342" spans="1:8" s="266" customFormat="1" ht="36" outlineLevel="3">
      <c r="A342" s="164" t="s">
        <v>17</v>
      </c>
      <c r="B342" s="163" t="s">
        <v>504</v>
      </c>
      <c r="C342" s="163" t="s">
        <v>67</v>
      </c>
      <c r="D342" s="163" t="s">
        <v>367</v>
      </c>
      <c r="E342" s="163" t="s">
        <v>18</v>
      </c>
      <c r="F342" s="184">
        <v>45000</v>
      </c>
      <c r="G342" s="265"/>
      <c r="H342" s="265"/>
    </row>
    <row r="343" spans="1:8" outlineLevel="3">
      <c r="A343" s="196" t="s">
        <v>69</v>
      </c>
      <c r="B343" s="197" t="s">
        <v>504</v>
      </c>
      <c r="C343" s="197" t="s">
        <v>70</v>
      </c>
      <c r="D343" s="197" t="s">
        <v>126</v>
      </c>
      <c r="E343" s="197" t="s">
        <v>6</v>
      </c>
      <c r="F343" s="171">
        <f t="shared" ref="F343:F348" si="100">F344</f>
        <v>18291462.579999998</v>
      </c>
    </row>
    <row r="344" spans="1:8" outlineLevel="5">
      <c r="A344" s="164" t="s">
        <v>257</v>
      </c>
      <c r="B344" s="163" t="s">
        <v>504</v>
      </c>
      <c r="C344" s="163" t="s">
        <v>256</v>
      </c>
      <c r="D344" s="163" t="s">
        <v>126</v>
      </c>
      <c r="E344" s="163" t="s">
        <v>6</v>
      </c>
      <c r="F344" s="167">
        <f t="shared" si="100"/>
        <v>18291462.579999998</v>
      </c>
    </row>
    <row r="345" spans="1:8" ht="36" outlineLevel="6">
      <c r="A345" s="196" t="s">
        <v>868</v>
      </c>
      <c r="B345" s="197" t="s">
        <v>504</v>
      </c>
      <c r="C345" s="197" t="s">
        <v>256</v>
      </c>
      <c r="D345" s="197" t="s">
        <v>136</v>
      </c>
      <c r="E345" s="197" t="s">
        <v>6</v>
      </c>
      <c r="F345" s="171">
        <f>F346+F353</f>
        <v>18291462.579999998</v>
      </c>
    </row>
    <row r="346" spans="1:8" ht="36" outlineLevel="7">
      <c r="A346" s="210" t="s">
        <v>368</v>
      </c>
      <c r="B346" s="163" t="s">
        <v>504</v>
      </c>
      <c r="C346" s="163" t="s">
        <v>256</v>
      </c>
      <c r="D346" s="163" t="s">
        <v>228</v>
      </c>
      <c r="E346" s="163" t="s">
        <v>6</v>
      </c>
      <c r="F346" s="167">
        <f>F347+F350</f>
        <v>18291462.579999998</v>
      </c>
    </row>
    <row r="347" spans="1:8" ht="36" outlineLevel="7">
      <c r="A347" s="164" t="s">
        <v>73</v>
      </c>
      <c r="B347" s="163" t="s">
        <v>504</v>
      </c>
      <c r="C347" s="163" t="s">
        <v>256</v>
      </c>
      <c r="D347" s="163" t="s">
        <v>137</v>
      </c>
      <c r="E347" s="163" t="s">
        <v>6</v>
      </c>
      <c r="F347" s="167">
        <f t="shared" si="100"/>
        <v>18193102.579999998</v>
      </c>
    </row>
    <row r="348" spans="1:8" ht="36" outlineLevel="7">
      <c r="A348" s="164" t="s">
        <v>37</v>
      </c>
      <c r="B348" s="163" t="s">
        <v>504</v>
      </c>
      <c r="C348" s="163" t="s">
        <v>256</v>
      </c>
      <c r="D348" s="163" t="s">
        <v>137</v>
      </c>
      <c r="E348" s="163" t="s">
        <v>38</v>
      </c>
      <c r="F348" s="167">
        <f t="shared" si="100"/>
        <v>18193102.579999998</v>
      </c>
    </row>
    <row r="349" spans="1:8" outlineLevel="7">
      <c r="A349" s="210" t="s">
        <v>74</v>
      </c>
      <c r="B349" s="163" t="s">
        <v>504</v>
      </c>
      <c r="C349" s="163" t="s">
        <v>256</v>
      </c>
      <c r="D349" s="163" t="s">
        <v>137</v>
      </c>
      <c r="E349" s="163" t="s">
        <v>75</v>
      </c>
      <c r="F349" s="167">
        <f>потребность!I348</f>
        <v>18193102.579999998</v>
      </c>
    </row>
    <row r="350" spans="1:8" ht="78" customHeight="1" outlineLevel="7">
      <c r="A350" s="210" t="s">
        <v>724</v>
      </c>
      <c r="B350" s="163" t="s">
        <v>504</v>
      </c>
      <c r="C350" s="163" t="s">
        <v>256</v>
      </c>
      <c r="D350" s="163" t="s">
        <v>725</v>
      </c>
      <c r="E350" s="163" t="s">
        <v>6</v>
      </c>
      <c r="F350" s="167">
        <f>F351</f>
        <v>98360</v>
      </c>
    </row>
    <row r="351" spans="1:8" s="266" customFormat="1" ht="36" outlineLevel="1">
      <c r="A351" s="164" t="s">
        <v>37</v>
      </c>
      <c r="B351" s="163" t="s">
        <v>504</v>
      </c>
      <c r="C351" s="163" t="s">
        <v>256</v>
      </c>
      <c r="D351" s="163" t="s">
        <v>725</v>
      </c>
      <c r="E351" s="163" t="s">
        <v>38</v>
      </c>
      <c r="F351" s="167">
        <f t="shared" ref="F351" si="101">F352</f>
        <v>98360</v>
      </c>
      <c r="G351" s="265"/>
      <c r="H351" s="265"/>
    </row>
    <row r="352" spans="1:8" ht="16.5" customHeight="1" outlineLevel="2">
      <c r="A352" s="210" t="s">
        <v>74</v>
      </c>
      <c r="B352" s="163" t="s">
        <v>504</v>
      </c>
      <c r="C352" s="163" t="s">
        <v>256</v>
      </c>
      <c r="D352" s="163" t="s">
        <v>725</v>
      </c>
      <c r="E352" s="163" t="s">
        <v>75</v>
      </c>
      <c r="F352" s="167">
        <v>98360</v>
      </c>
    </row>
    <row r="353" spans="1:8" s="266" customFormat="1" hidden="1" outlineLevel="3">
      <c r="A353" s="208" t="s">
        <v>608</v>
      </c>
      <c r="B353" s="197" t="s">
        <v>504</v>
      </c>
      <c r="C353" s="197" t="s">
        <v>256</v>
      </c>
      <c r="D353" s="197" t="s">
        <v>609</v>
      </c>
      <c r="E353" s="197" t="s">
        <v>6</v>
      </c>
      <c r="F353" s="167">
        <f t="shared" ref="F353:F355" si="102">F354</f>
        <v>0</v>
      </c>
      <c r="G353" s="265"/>
      <c r="H353" s="265"/>
    </row>
    <row r="354" spans="1:8" ht="21.75" hidden="1" customHeight="1" outlineLevel="3">
      <c r="A354" s="164" t="s">
        <v>524</v>
      </c>
      <c r="B354" s="163" t="s">
        <v>504</v>
      </c>
      <c r="C354" s="163" t="s">
        <v>256</v>
      </c>
      <c r="D354" s="163" t="s">
        <v>525</v>
      </c>
      <c r="E354" s="163" t="s">
        <v>6</v>
      </c>
      <c r="F354" s="167">
        <f t="shared" si="102"/>
        <v>0</v>
      </c>
    </row>
    <row r="355" spans="1:8" ht="36" hidden="1" outlineLevel="7">
      <c r="A355" s="164" t="s">
        <v>37</v>
      </c>
      <c r="B355" s="163" t="s">
        <v>504</v>
      </c>
      <c r="C355" s="163" t="s">
        <v>256</v>
      </c>
      <c r="D355" s="163" t="s">
        <v>525</v>
      </c>
      <c r="E355" s="163" t="s">
        <v>38</v>
      </c>
      <c r="F355" s="167">
        <f t="shared" si="102"/>
        <v>0</v>
      </c>
    </row>
    <row r="356" spans="1:8" hidden="1" outlineLevel="7">
      <c r="A356" s="164" t="s">
        <v>74</v>
      </c>
      <c r="B356" s="163" t="s">
        <v>504</v>
      </c>
      <c r="C356" s="163" t="s">
        <v>256</v>
      </c>
      <c r="D356" s="163" t="s">
        <v>525</v>
      </c>
      <c r="E356" s="163" t="s">
        <v>75</v>
      </c>
      <c r="F356" s="167"/>
    </row>
    <row r="357" spans="1:8" outlineLevel="7">
      <c r="A357" s="196" t="s">
        <v>79</v>
      </c>
      <c r="B357" s="197" t="s">
        <v>504</v>
      </c>
      <c r="C357" s="197" t="s">
        <v>80</v>
      </c>
      <c r="D357" s="197" t="s">
        <v>126</v>
      </c>
      <c r="E357" s="197" t="s">
        <v>6</v>
      </c>
      <c r="F357" s="171">
        <f>F358+F382</f>
        <v>37025426.940000005</v>
      </c>
    </row>
    <row r="358" spans="1:8" outlineLevel="7">
      <c r="A358" s="164" t="s">
        <v>81</v>
      </c>
      <c r="B358" s="163" t="s">
        <v>504</v>
      </c>
      <c r="C358" s="163" t="s">
        <v>82</v>
      </c>
      <c r="D358" s="163" t="s">
        <v>126</v>
      </c>
      <c r="E358" s="163" t="s">
        <v>6</v>
      </c>
      <c r="F358" s="167">
        <f>F359</f>
        <v>34319913.550000004</v>
      </c>
    </row>
    <row r="359" spans="1:8" ht="36" outlineLevel="7">
      <c r="A359" s="196" t="s">
        <v>868</v>
      </c>
      <c r="B359" s="197" t="s">
        <v>504</v>
      </c>
      <c r="C359" s="197" t="s">
        <v>82</v>
      </c>
      <c r="D359" s="197" t="s">
        <v>136</v>
      </c>
      <c r="E359" s="197" t="s">
        <v>6</v>
      </c>
      <c r="F359" s="171">
        <f>F360+F377+F364</f>
        <v>34319913.550000004</v>
      </c>
    </row>
    <row r="360" spans="1:8" ht="36" outlineLevel="7">
      <c r="A360" s="164" t="s">
        <v>370</v>
      </c>
      <c r="B360" s="163" t="s">
        <v>504</v>
      </c>
      <c r="C360" s="163" t="s">
        <v>82</v>
      </c>
      <c r="D360" s="163" t="s">
        <v>227</v>
      </c>
      <c r="E360" s="163" t="s">
        <v>6</v>
      </c>
      <c r="F360" s="167">
        <f>F374+F371+F361</f>
        <v>9334070.6100000013</v>
      </c>
    </row>
    <row r="361" spans="1:8" ht="36" outlineLevel="7">
      <c r="A361" s="33" t="s">
        <v>84</v>
      </c>
      <c r="B361" s="163" t="s">
        <v>504</v>
      </c>
      <c r="C361" s="163" t="s">
        <v>82</v>
      </c>
      <c r="D361" s="163" t="s">
        <v>141</v>
      </c>
      <c r="E361" s="163" t="s">
        <v>6</v>
      </c>
      <c r="F361" s="167">
        <f t="shared" ref="F361:F362" si="103">F362</f>
        <v>9329030.4600000009</v>
      </c>
    </row>
    <row r="362" spans="1:8" ht="36" outlineLevel="7">
      <c r="A362" s="164" t="s">
        <v>37</v>
      </c>
      <c r="B362" s="163" t="s">
        <v>504</v>
      </c>
      <c r="C362" s="163" t="s">
        <v>82</v>
      </c>
      <c r="D362" s="163" t="s">
        <v>141</v>
      </c>
      <c r="E362" s="163" t="s">
        <v>38</v>
      </c>
      <c r="F362" s="167">
        <f t="shared" si="103"/>
        <v>9329030.4600000009</v>
      </c>
    </row>
    <row r="363" spans="1:8" outlineLevel="7">
      <c r="A363" s="164" t="s">
        <v>74</v>
      </c>
      <c r="B363" s="163" t="s">
        <v>504</v>
      </c>
      <c r="C363" s="163" t="s">
        <v>82</v>
      </c>
      <c r="D363" s="163" t="s">
        <v>141</v>
      </c>
      <c r="E363" s="163" t="s">
        <v>75</v>
      </c>
      <c r="F363" s="218">
        <f>потребность!I362</f>
        <v>9329030.4600000009</v>
      </c>
    </row>
    <row r="364" spans="1:8" ht="36" outlineLevel="7">
      <c r="A364" s="164" t="s">
        <v>689</v>
      </c>
      <c r="B364" s="163" t="s">
        <v>504</v>
      </c>
      <c r="C364" s="163" t="s">
        <v>82</v>
      </c>
      <c r="D364" s="163" t="s">
        <v>688</v>
      </c>
      <c r="E364" s="163" t="s">
        <v>6</v>
      </c>
      <c r="F364" s="167">
        <f>F365+F368</f>
        <v>24239342.940000001</v>
      </c>
    </row>
    <row r="365" spans="1:8" ht="36.75" customHeight="1" outlineLevel="3">
      <c r="A365" s="33" t="s">
        <v>84</v>
      </c>
      <c r="B365" s="163" t="s">
        <v>504</v>
      </c>
      <c r="C365" s="163" t="s">
        <v>82</v>
      </c>
      <c r="D365" s="163" t="s">
        <v>687</v>
      </c>
      <c r="E365" s="163" t="s">
        <v>6</v>
      </c>
      <c r="F365" s="167">
        <f t="shared" ref="F365:F366" si="104">F366</f>
        <v>24239342.940000001</v>
      </c>
    </row>
    <row r="366" spans="1:8" ht="36" outlineLevel="3">
      <c r="A366" s="164" t="s">
        <v>37</v>
      </c>
      <c r="B366" s="163" t="s">
        <v>504</v>
      </c>
      <c r="C366" s="163" t="s">
        <v>82</v>
      </c>
      <c r="D366" s="163" t="s">
        <v>687</v>
      </c>
      <c r="E366" s="163" t="s">
        <v>38</v>
      </c>
      <c r="F366" s="167">
        <f t="shared" si="104"/>
        <v>24239342.940000001</v>
      </c>
    </row>
    <row r="367" spans="1:8" ht="21.15" customHeight="1" outlineLevel="3">
      <c r="A367" s="164" t="s">
        <v>74</v>
      </c>
      <c r="B367" s="163" t="s">
        <v>504</v>
      </c>
      <c r="C367" s="163" t="s">
        <v>82</v>
      </c>
      <c r="D367" s="163" t="s">
        <v>687</v>
      </c>
      <c r="E367" s="163" t="s">
        <v>75</v>
      </c>
      <c r="F367" s="218">
        <f>потребность!L366</f>
        <v>24239342.940000001</v>
      </c>
    </row>
    <row r="368" spans="1:8" ht="72" hidden="1" outlineLevel="7">
      <c r="A368" s="210" t="s">
        <v>724</v>
      </c>
      <c r="B368" s="163" t="s">
        <v>504</v>
      </c>
      <c r="C368" s="163" t="s">
        <v>82</v>
      </c>
      <c r="D368" s="163" t="s">
        <v>726</v>
      </c>
      <c r="E368" s="163" t="s">
        <v>6</v>
      </c>
      <c r="F368" s="167">
        <f t="shared" ref="F368:F369" si="105">F369</f>
        <v>0</v>
      </c>
    </row>
    <row r="369" spans="1:8" ht="36" hidden="1" outlineLevel="5">
      <c r="A369" s="164" t="s">
        <v>37</v>
      </c>
      <c r="B369" s="163" t="s">
        <v>504</v>
      </c>
      <c r="C369" s="163" t="s">
        <v>82</v>
      </c>
      <c r="D369" s="163" t="s">
        <v>726</v>
      </c>
      <c r="E369" s="163" t="s">
        <v>38</v>
      </c>
      <c r="F369" s="167">
        <f t="shared" si="105"/>
        <v>0</v>
      </c>
    </row>
    <row r="370" spans="1:8" hidden="1" outlineLevel="6">
      <c r="A370" s="210" t="s">
        <v>74</v>
      </c>
      <c r="B370" s="163" t="s">
        <v>504</v>
      </c>
      <c r="C370" s="163" t="s">
        <v>82</v>
      </c>
      <c r="D370" s="163" t="s">
        <v>726</v>
      </c>
      <c r="E370" s="163" t="s">
        <v>75</v>
      </c>
      <c r="F370" s="218"/>
    </row>
    <row r="371" spans="1:8" ht="72" hidden="1" outlineLevel="7">
      <c r="A371" s="187" t="s">
        <v>393</v>
      </c>
      <c r="B371" s="163" t="s">
        <v>504</v>
      </c>
      <c r="C371" s="163" t="s">
        <v>82</v>
      </c>
      <c r="D371" s="163" t="s">
        <v>294</v>
      </c>
      <c r="E371" s="163" t="s">
        <v>6</v>
      </c>
      <c r="F371" s="167">
        <f t="shared" ref="F371:F372" si="106">F372</f>
        <v>0</v>
      </c>
    </row>
    <row r="372" spans="1:8" ht="36" hidden="1" outlineLevel="7">
      <c r="A372" s="164" t="s">
        <v>37</v>
      </c>
      <c r="B372" s="163" t="s">
        <v>504</v>
      </c>
      <c r="C372" s="163" t="s">
        <v>82</v>
      </c>
      <c r="D372" s="163" t="s">
        <v>294</v>
      </c>
      <c r="E372" s="163" t="s">
        <v>38</v>
      </c>
      <c r="F372" s="167">
        <f t="shared" si="106"/>
        <v>0</v>
      </c>
    </row>
    <row r="373" spans="1:8" hidden="1" outlineLevel="7">
      <c r="A373" s="164" t="s">
        <v>74</v>
      </c>
      <c r="B373" s="163" t="s">
        <v>504</v>
      </c>
      <c r="C373" s="163" t="s">
        <v>82</v>
      </c>
      <c r="D373" s="163" t="s">
        <v>294</v>
      </c>
      <c r="E373" s="163" t="s">
        <v>75</v>
      </c>
      <c r="F373" s="218"/>
    </row>
    <row r="374" spans="1:8" ht="54" outlineLevel="7">
      <c r="A374" s="164" t="s">
        <v>307</v>
      </c>
      <c r="B374" s="163" t="s">
        <v>504</v>
      </c>
      <c r="C374" s="163" t="s">
        <v>82</v>
      </c>
      <c r="D374" s="163" t="s">
        <v>308</v>
      </c>
      <c r="E374" s="163" t="s">
        <v>6</v>
      </c>
      <c r="F374" s="167">
        <f t="shared" ref="F374:F375" si="107">F375</f>
        <v>5040.1499999999996</v>
      </c>
    </row>
    <row r="375" spans="1:8" ht="36" outlineLevel="7">
      <c r="A375" s="164" t="s">
        <v>37</v>
      </c>
      <c r="B375" s="163" t="s">
        <v>504</v>
      </c>
      <c r="C375" s="163" t="s">
        <v>82</v>
      </c>
      <c r="D375" s="163" t="s">
        <v>308</v>
      </c>
      <c r="E375" s="163" t="s">
        <v>38</v>
      </c>
      <c r="F375" s="167">
        <f t="shared" si="107"/>
        <v>5040.1499999999996</v>
      </c>
    </row>
    <row r="376" spans="1:8" outlineLevel="7">
      <c r="A376" s="164" t="s">
        <v>74</v>
      </c>
      <c r="B376" s="163" t="s">
        <v>504</v>
      </c>
      <c r="C376" s="163" t="s">
        <v>82</v>
      </c>
      <c r="D376" s="163" t="s">
        <v>308</v>
      </c>
      <c r="E376" s="163" t="s">
        <v>75</v>
      </c>
      <c r="F376" s="184">
        <v>5040.1499999999996</v>
      </c>
    </row>
    <row r="377" spans="1:8" ht="27" customHeight="1" outlineLevel="7">
      <c r="A377" s="164" t="s">
        <v>211</v>
      </c>
      <c r="B377" s="163" t="s">
        <v>504</v>
      </c>
      <c r="C377" s="163" t="s">
        <v>82</v>
      </c>
      <c r="D377" s="163" t="s">
        <v>229</v>
      </c>
      <c r="E377" s="163" t="s">
        <v>6</v>
      </c>
      <c r="F377" s="184">
        <f t="shared" ref="F377:F378" si="108">F378</f>
        <v>746500</v>
      </c>
    </row>
    <row r="378" spans="1:8" outlineLevel="7">
      <c r="A378" s="164" t="s">
        <v>83</v>
      </c>
      <c r="B378" s="163" t="s">
        <v>504</v>
      </c>
      <c r="C378" s="163" t="s">
        <v>82</v>
      </c>
      <c r="D378" s="163" t="s">
        <v>140</v>
      </c>
      <c r="E378" s="163" t="s">
        <v>6</v>
      </c>
      <c r="F378" s="167">
        <f t="shared" si="108"/>
        <v>746500</v>
      </c>
    </row>
    <row r="379" spans="1:8" s="266" customFormat="1" ht="36" outlineLevel="1">
      <c r="A379" s="164" t="s">
        <v>37</v>
      </c>
      <c r="B379" s="163" t="s">
        <v>504</v>
      </c>
      <c r="C379" s="163" t="s">
        <v>82</v>
      </c>
      <c r="D379" s="163" t="s">
        <v>140</v>
      </c>
      <c r="E379" s="163" t="s">
        <v>38</v>
      </c>
      <c r="F379" s="167">
        <f t="shared" ref="F379" si="109">F380+F381</f>
        <v>746500</v>
      </c>
      <c r="G379" s="265"/>
      <c r="H379" s="265"/>
    </row>
    <row r="380" spans="1:8" outlineLevel="2">
      <c r="A380" s="164" t="s">
        <v>74</v>
      </c>
      <c r="B380" s="163" t="s">
        <v>504</v>
      </c>
      <c r="C380" s="163" t="s">
        <v>82</v>
      </c>
      <c r="D380" s="163" t="s">
        <v>140</v>
      </c>
      <c r="E380" s="163" t="s">
        <v>75</v>
      </c>
      <c r="F380" s="167">
        <v>632500</v>
      </c>
    </row>
    <row r="381" spans="1:8" ht="36" outlineLevel="4">
      <c r="A381" s="164" t="s">
        <v>371</v>
      </c>
      <c r="B381" s="163" t="s">
        <v>504</v>
      </c>
      <c r="C381" s="163" t="s">
        <v>82</v>
      </c>
      <c r="D381" s="163" t="s">
        <v>140</v>
      </c>
      <c r="E381" s="163" t="s">
        <v>252</v>
      </c>
      <c r="F381" s="167">
        <v>114000</v>
      </c>
    </row>
    <row r="382" spans="1:8" outlineLevel="5">
      <c r="A382" s="164" t="s">
        <v>526</v>
      </c>
      <c r="B382" s="163" t="s">
        <v>504</v>
      </c>
      <c r="C382" s="163" t="s">
        <v>527</v>
      </c>
      <c r="D382" s="163" t="s">
        <v>126</v>
      </c>
      <c r="E382" s="163" t="s">
        <v>6</v>
      </c>
      <c r="F382" s="167">
        <f>F383+F391</f>
        <v>2705513.39</v>
      </c>
    </row>
    <row r="383" spans="1:8" ht="48.15" customHeight="1" outlineLevel="6">
      <c r="A383" s="196" t="s">
        <v>868</v>
      </c>
      <c r="B383" s="163" t="s">
        <v>504</v>
      </c>
      <c r="C383" s="163" t="s">
        <v>527</v>
      </c>
      <c r="D383" s="163" t="s">
        <v>136</v>
      </c>
      <c r="E383" s="163" t="s">
        <v>6</v>
      </c>
      <c r="F383" s="167">
        <f t="shared" ref="F383:F386" si="110">F384</f>
        <v>202147.39</v>
      </c>
    </row>
    <row r="384" spans="1:8" ht="23.25" customHeight="1" outlineLevel="7">
      <c r="A384" s="164" t="s">
        <v>211</v>
      </c>
      <c r="B384" s="163" t="s">
        <v>504</v>
      </c>
      <c r="C384" s="163" t="s">
        <v>527</v>
      </c>
      <c r="D384" s="163" t="s">
        <v>229</v>
      </c>
      <c r="E384" s="163" t="s">
        <v>6</v>
      </c>
      <c r="F384" s="167">
        <f>F385+F388</f>
        <v>202147.39</v>
      </c>
    </row>
    <row r="385" spans="1:8" ht="54" outlineLevel="7">
      <c r="A385" s="164" t="s">
        <v>528</v>
      </c>
      <c r="B385" s="163" t="s">
        <v>504</v>
      </c>
      <c r="C385" s="163" t="s">
        <v>527</v>
      </c>
      <c r="D385" s="163" t="s">
        <v>529</v>
      </c>
      <c r="E385" s="163" t="s">
        <v>6</v>
      </c>
      <c r="F385" s="167">
        <f t="shared" si="110"/>
        <v>202147.39</v>
      </c>
    </row>
    <row r="386" spans="1:8" s="266" customFormat="1" ht="36" outlineLevel="7">
      <c r="A386" s="164" t="s">
        <v>37</v>
      </c>
      <c r="B386" s="163" t="s">
        <v>504</v>
      </c>
      <c r="C386" s="163" t="s">
        <v>527</v>
      </c>
      <c r="D386" s="163" t="s">
        <v>529</v>
      </c>
      <c r="E386" s="163" t="s">
        <v>38</v>
      </c>
      <c r="F386" s="167">
        <f t="shared" si="110"/>
        <v>202147.39</v>
      </c>
      <c r="G386" s="265"/>
      <c r="H386" s="265"/>
    </row>
    <row r="387" spans="1:8" ht="24.75" customHeight="1" outlineLevel="7">
      <c r="A387" s="164" t="s">
        <v>74</v>
      </c>
      <c r="B387" s="163" t="s">
        <v>504</v>
      </c>
      <c r="C387" s="163" t="s">
        <v>527</v>
      </c>
      <c r="D387" s="163" t="s">
        <v>529</v>
      </c>
      <c r="E387" s="163" t="s">
        <v>75</v>
      </c>
      <c r="F387" s="167">
        <v>202147.39</v>
      </c>
    </row>
    <row r="388" spans="1:8" ht="72" hidden="1" outlineLevel="7">
      <c r="A388" s="164" t="s">
        <v>903</v>
      </c>
      <c r="B388" s="163" t="s">
        <v>504</v>
      </c>
      <c r="C388" s="163" t="s">
        <v>527</v>
      </c>
      <c r="D388" s="163" t="s">
        <v>939</v>
      </c>
      <c r="E388" s="163" t="s">
        <v>6</v>
      </c>
      <c r="F388" s="167">
        <f>F389</f>
        <v>0</v>
      </c>
    </row>
    <row r="389" spans="1:8" ht="24.75" hidden="1" customHeight="1" outlineLevel="7">
      <c r="A389" s="164" t="s">
        <v>37</v>
      </c>
      <c r="B389" s="163" t="s">
        <v>504</v>
      </c>
      <c r="C389" s="163" t="s">
        <v>527</v>
      </c>
      <c r="D389" s="163" t="s">
        <v>939</v>
      </c>
      <c r="E389" s="163" t="s">
        <v>38</v>
      </c>
      <c r="F389" s="167">
        <f>F390</f>
        <v>0</v>
      </c>
    </row>
    <row r="390" spans="1:8" ht="23.25" hidden="1" customHeight="1" outlineLevel="7">
      <c r="A390" s="164" t="s">
        <v>74</v>
      </c>
      <c r="B390" s="163" t="s">
        <v>504</v>
      </c>
      <c r="C390" s="163" t="s">
        <v>527</v>
      </c>
      <c r="D390" s="163" t="s">
        <v>939</v>
      </c>
      <c r="E390" s="163" t="s">
        <v>75</v>
      </c>
      <c r="F390" s="167">
        <v>0</v>
      </c>
    </row>
    <row r="391" spans="1:8" ht="42.15" customHeight="1" outlineLevel="7">
      <c r="A391" s="196" t="s">
        <v>876</v>
      </c>
      <c r="B391" s="197" t="s">
        <v>504</v>
      </c>
      <c r="C391" s="163" t="s">
        <v>527</v>
      </c>
      <c r="D391" s="163" t="s">
        <v>331</v>
      </c>
      <c r="E391" s="197" t="s">
        <v>6</v>
      </c>
      <c r="F391" s="167">
        <f>F392</f>
        <v>2503366</v>
      </c>
    </row>
    <row r="392" spans="1:8" ht="40.799999999999997" customHeight="1" outlineLevel="7">
      <c r="A392" s="164" t="s">
        <v>345</v>
      </c>
      <c r="B392" s="163" t="s">
        <v>504</v>
      </c>
      <c r="C392" s="163" t="s">
        <v>527</v>
      </c>
      <c r="D392" s="163" t="s">
        <v>332</v>
      </c>
      <c r="E392" s="163" t="s">
        <v>6</v>
      </c>
      <c r="F392" s="167">
        <f>F393</f>
        <v>2503366</v>
      </c>
    </row>
    <row r="393" spans="1:8" ht="22.5" customHeight="1" outlineLevel="7">
      <c r="A393" s="164" t="s">
        <v>943</v>
      </c>
      <c r="B393" s="163" t="s">
        <v>504</v>
      </c>
      <c r="C393" s="163" t="s">
        <v>527</v>
      </c>
      <c r="D393" s="163" t="s">
        <v>941</v>
      </c>
      <c r="E393" s="163" t="s">
        <v>6</v>
      </c>
      <c r="F393" s="167">
        <f>F394</f>
        <v>2503366</v>
      </c>
    </row>
    <row r="394" spans="1:8" ht="23.25" customHeight="1" outlineLevel="7">
      <c r="A394" s="164" t="s">
        <v>15</v>
      </c>
      <c r="B394" s="163" t="s">
        <v>504</v>
      </c>
      <c r="C394" s="163" t="s">
        <v>527</v>
      </c>
      <c r="D394" s="163" t="s">
        <v>941</v>
      </c>
      <c r="E394" s="163" t="s">
        <v>16</v>
      </c>
      <c r="F394" s="167">
        <f>F395</f>
        <v>2503366</v>
      </c>
    </row>
    <row r="395" spans="1:8" ht="23.25" customHeight="1" outlineLevel="7">
      <c r="A395" s="164" t="s">
        <v>17</v>
      </c>
      <c r="B395" s="163" t="s">
        <v>504</v>
      </c>
      <c r="C395" s="163" t="s">
        <v>527</v>
      </c>
      <c r="D395" s="163" t="s">
        <v>941</v>
      </c>
      <c r="E395" s="163" t="s">
        <v>18</v>
      </c>
      <c r="F395" s="167">
        <f>2430452.42+72913.58</f>
        <v>2503366</v>
      </c>
    </row>
    <row r="396" spans="1:8" outlineLevel="7">
      <c r="A396" s="196" t="s">
        <v>85</v>
      </c>
      <c r="B396" s="197" t="s">
        <v>504</v>
      </c>
      <c r="C396" s="197" t="s">
        <v>86</v>
      </c>
      <c r="D396" s="197" t="s">
        <v>126</v>
      </c>
      <c r="E396" s="197" t="s">
        <v>6</v>
      </c>
      <c r="F396" s="171">
        <f>F397+F402+F417</f>
        <v>54717920.169999994</v>
      </c>
    </row>
    <row r="397" spans="1:8" outlineLevel="7">
      <c r="A397" s="164" t="s">
        <v>87</v>
      </c>
      <c r="B397" s="163" t="s">
        <v>504</v>
      </c>
      <c r="C397" s="163" t="s">
        <v>88</v>
      </c>
      <c r="D397" s="163" t="s">
        <v>126</v>
      </c>
      <c r="E397" s="163" t="s">
        <v>6</v>
      </c>
      <c r="F397" s="167">
        <f t="shared" ref="F397:F400" si="111">F398</f>
        <v>5386176</v>
      </c>
    </row>
    <row r="398" spans="1:8" ht="36" outlineLevel="7">
      <c r="A398" s="196" t="s">
        <v>132</v>
      </c>
      <c r="B398" s="197" t="s">
        <v>504</v>
      </c>
      <c r="C398" s="197" t="s">
        <v>88</v>
      </c>
      <c r="D398" s="197" t="s">
        <v>127</v>
      </c>
      <c r="E398" s="197" t="s">
        <v>6</v>
      </c>
      <c r="F398" s="171">
        <f t="shared" si="111"/>
        <v>5386176</v>
      </c>
    </row>
    <row r="399" spans="1:8" s="266" customFormat="1" ht="26.4" customHeight="1" outlineLevel="7">
      <c r="A399" s="164" t="s">
        <v>89</v>
      </c>
      <c r="B399" s="163" t="s">
        <v>504</v>
      </c>
      <c r="C399" s="163" t="s">
        <v>88</v>
      </c>
      <c r="D399" s="163" t="s">
        <v>142</v>
      </c>
      <c r="E399" s="163" t="s">
        <v>6</v>
      </c>
      <c r="F399" s="167">
        <f t="shared" si="111"/>
        <v>5386176</v>
      </c>
      <c r="G399" s="265"/>
      <c r="H399" s="265"/>
    </row>
    <row r="400" spans="1:8" ht="25.5" customHeight="1" outlineLevel="7">
      <c r="A400" s="164" t="s">
        <v>90</v>
      </c>
      <c r="B400" s="163" t="s">
        <v>504</v>
      </c>
      <c r="C400" s="163" t="s">
        <v>88</v>
      </c>
      <c r="D400" s="163" t="s">
        <v>142</v>
      </c>
      <c r="E400" s="163" t="s">
        <v>91</v>
      </c>
      <c r="F400" s="167">
        <f t="shared" si="111"/>
        <v>5386176</v>
      </c>
    </row>
    <row r="401" spans="1:6" outlineLevel="7">
      <c r="A401" s="164" t="s">
        <v>92</v>
      </c>
      <c r="B401" s="163" t="s">
        <v>504</v>
      </c>
      <c r="C401" s="163" t="s">
        <v>88</v>
      </c>
      <c r="D401" s="163" t="s">
        <v>142</v>
      </c>
      <c r="E401" s="163" t="s">
        <v>93</v>
      </c>
      <c r="F401" s="218">
        <v>5386176</v>
      </c>
    </row>
    <row r="402" spans="1:6" outlineLevel="7">
      <c r="A402" s="164" t="s">
        <v>94</v>
      </c>
      <c r="B402" s="163" t="s">
        <v>504</v>
      </c>
      <c r="C402" s="163" t="s">
        <v>95</v>
      </c>
      <c r="D402" s="163" t="s">
        <v>126</v>
      </c>
      <c r="E402" s="163" t="s">
        <v>6</v>
      </c>
      <c r="F402" s="167">
        <f>F403+F413+F408</f>
        <v>992359.04</v>
      </c>
    </row>
    <row r="403" spans="1:6" ht="36" outlineLevel="7">
      <c r="A403" s="196" t="s">
        <v>867</v>
      </c>
      <c r="B403" s="163" t="s">
        <v>504</v>
      </c>
      <c r="C403" s="197" t="s">
        <v>95</v>
      </c>
      <c r="D403" s="197" t="s">
        <v>129</v>
      </c>
      <c r="E403" s="197" t="s">
        <v>6</v>
      </c>
      <c r="F403" s="171">
        <f t="shared" ref="F403" si="112">F404</f>
        <v>150000</v>
      </c>
    </row>
    <row r="404" spans="1:6" ht="36" outlineLevel="7">
      <c r="A404" s="164" t="s">
        <v>372</v>
      </c>
      <c r="B404" s="163" t="s">
        <v>504</v>
      </c>
      <c r="C404" s="163" t="s">
        <v>95</v>
      </c>
      <c r="D404" s="163" t="s">
        <v>441</v>
      </c>
      <c r="E404" s="163" t="s">
        <v>6</v>
      </c>
      <c r="F404" s="167">
        <f>F405</f>
        <v>150000</v>
      </c>
    </row>
    <row r="405" spans="1:6" ht="36" outlineLevel="7">
      <c r="A405" s="164" t="s">
        <v>99</v>
      </c>
      <c r="B405" s="163" t="s">
        <v>504</v>
      </c>
      <c r="C405" s="163" t="s">
        <v>95</v>
      </c>
      <c r="D405" s="163" t="s">
        <v>416</v>
      </c>
      <c r="E405" s="163" t="s">
        <v>6</v>
      </c>
      <c r="F405" s="167">
        <f t="shared" ref="F405:F406" si="113">F406</f>
        <v>150000</v>
      </c>
    </row>
    <row r="406" spans="1:6" outlineLevel="7">
      <c r="A406" s="164" t="s">
        <v>90</v>
      </c>
      <c r="B406" s="163" t="s">
        <v>504</v>
      </c>
      <c r="C406" s="163" t="s">
        <v>95</v>
      </c>
      <c r="D406" s="163" t="s">
        <v>416</v>
      </c>
      <c r="E406" s="163" t="s">
        <v>91</v>
      </c>
      <c r="F406" s="167">
        <f t="shared" si="113"/>
        <v>150000</v>
      </c>
    </row>
    <row r="407" spans="1:6" ht="36" outlineLevel="7">
      <c r="A407" s="164" t="s">
        <v>97</v>
      </c>
      <c r="B407" s="163" t="s">
        <v>504</v>
      </c>
      <c r="C407" s="163" t="s">
        <v>95</v>
      </c>
      <c r="D407" s="163" t="s">
        <v>416</v>
      </c>
      <c r="E407" s="163" t="s">
        <v>98</v>
      </c>
      <c r="F407" s="218">
        <v>150000</v>
      </c>
    </row>
    <row r="408" spans="1:6" ht="36" outlineLevel="1">
      <c r="A408" s="196" t="s">
        <v>866</v>
      </c>
      <c r="B408" s="163" t="s">
        <v>504</v>
      </c>
      <c r="C408" s="197" t="s">
        <v>95</v>
      </c>
      <c r="D408" s="197" t="s">
        <v>374</v>
      </c>
      <c r="E408" s="197" t="s">
        <v>6</v>
      </c>
      <c r="F408" s="209">
        <f t="shared" ref="F408:F411" si="114">F409</f>
        <v>742359.04000000004</v>
      </c>
    </row>
    <row r="409" spans="1:6" ht="44.4" customHeight="1" outlineLevel="1">
      <c r="A409" s="164" t="s">
        <v>394</v>
      </c>
      <c r="B409" s="163" t="s">
        <v>504</v>
      </c>
      <c r="C409" s="163" t="s">
        <v>95</v>
      </c>
      <c r="D409" s="163" t="s">
        <v>375</v>
      </c>
      <c r="E409" s="163" t="s">
        <v>6</v>
      </c>
      <c r="F409" s="184">
        <f t="shared" si="114"/>
        <v>742359.04000000004</v>
      </c>
    </row>
    <row r="410" spans="1:6" ht="36" outlineLevel="1">
      <c r="A410" s="164" t="s">
        <v>96</v>
      </c>
      <c r="B410" s="163" t="s">
        <v>504</v>
      </c>
      <c r="C410" s="163" t="s">
        <v>95</v>
      </c>
      <c r="D410" s="163" t="s">
        <v>376</v>
      </c>
      <c r="E410" s="163" t="s">
        <v>6</v>
      </c>
      <c r="F410" s="167">
        <f t="shared" si="114"/>
        <v>742359.04000000004</v>
      </c>
    </row>
    <row r="411" spans="1:6" outlineLevel="1">
      <c r="A411" s="164" t="s">
        <v>90</v>
      </c>
      <c r="B411" s="163" t="s">
        <v>504</v>
      </c>
      <c r="C411" s="163" t="s">
        <v>95</v>
      </c>
      <c r="D411" s="163" t="s">
        <v>376</v>
      </c>
      <c r="E411" s="163" t="s">
        <v>91</v>
      </c>
      <c r="F411" s="184">
        <f t="shared" si="114"/>
        <v>742359.04000000004</v>
      </c>
    </row>
    <row r="412" spans="1:6" ht="36" outlineLevel="1">
      <c r="A412" s="164" t="s">
        <v>97</v>
      </c>
      <c r="B412" s="163" t="s">
        <v>504</v>
      </c>
      <c r="C412" s="163" t="s">
        <v>95</v>
      </c>
      <c r="D412" s="163" t="s">
        <v>376</v>
      </c>
      <c r="E412" s="163" t="s">
        <v>98</v>
      </c>
      <c r="F412" s="167">
        <v>742359.04000000004</v>
      </c>
    </row>
    <row r="413" spans="1:6" ht="36" outlineLevel="1">
      <c r="A413" s="196" t="s">
        <v>132</v>
      </c>
      <c r="B413" s="197" t="s">
        <v>504</v>
      </c>
      <c r="C413" s="197" t="s">
        <v>95</v>
      </c>
      <c r="D413" s="197" t="s">
        <v>127</v>
      </c>
      <c r="E413" s="197" t="s">
        <v>6</v>
      </c>
      <c r="F413" s="209">
        <f t="shared" ref="F413:F415" si="115">F414</f>
        <v>100000</v>
      </c>
    </row>
    <row r="414" spans="1:6" ht="36" outlineLevel="1">
      <c r="A414" s="164" t="s">
        <v>530</v>
      </c>
      <c r="B414" s="163" t="s">
        <v>504</v>
      </c>
      <c r="C414" s="163" t="s">
        <v>95</v>
      </c>
      <c r="D414" s="163" t="s">
        <v>543</v>
      </c>
      <c r="E414" s="163" t="s">
        <v>6</v>
      </c>
      <c r="F414" s="184">
        <f t="shared" si="115"/>
        <v>100000</v>
      </c>
    </row>
    <row r="415" spans="1:6" outlineLevel="1">
      <c r="A415" s="164" t="s">
        <v>90</v>
      </c>
      <c r="B415" s="163" t="s">
        <v>504</v>
      </c>
      <c r="C415" s="163" t="s">
        <v>95</v>
      </c>
      <c r="D415" s="163" t="s">
        <v>543</v>
      </c>
      <c r="E415" s="163" t="s">
        <v>91</v>
      </c>
      <c r="F415" s="184">
        <f t="shared" si="115"/>
        <v>100000</v>
      </c>
    </row>
    <row r="416" spans="1:6" ht="20.25" customHeight="1" outlineLevel="1">
      <c r="A416" s="164" t="s">
        <v>309</v>
      </c>
      <c r="B416" s="163" t="s">
        <v>504</v>
      </c>
      <c r="C416" s="163" t="s">
        <v>95</v>
      </c>
      <c r="D416" s="163" t="s">
        <v>543</v>
      </c>
      <c r="E416" s="163" t="s">
        <v>310</v>
      </c>
      <c r="F416" s="167">
        <f>потребность!I407</f>
        <v>100000</v>
      </c>
    </row>
    <row r="417" spans="1:8" outlineLevel="1">
      <c r="A417" s="164" t="s">
        <v>123</v>
      </c>
      <c r="B417" s="163" t="s">
        <v>504</v>
      </c>
      <c r="C417" s="163" t="s">
        <v>124</v>
      </c>
      <c r="D417" s="163" t="s">
        <v>126</v>
      </c>
      <c r="E417" s="163" t="s">
        <v>6</v>
      </c>
      <c r="F417" s="184">
        <f t="shared" ref="F417:F418" si="116">F418</f>
        <v>48339385.129999995</v>
      </c>
    </row>
    <row r="418" spans="1:8" ht="36" outlineLevel="1">
      <c r="A418" s="196" t="s">
        <v>132</v>
      </c>
      <c r="B418" s="197" t="s">
        <v>504</v>
      </c>
      <c r="C418" s="197" t="s">
        <v>124</v>
      </c>
      <c r="D418" s="197" t="s">
        <v>127</v>
      </c>
      <c r="E418" s="197" t="s">
        <v>6</v>
      </c>
      <c r="F418" s="209">
        <f t="shared" si="116"/>
        <v>48339385.129999995</v>
      </c>
    </row>
    <row r="419" spans="1:8" outlineLevel="1">
      <c r="A419" s="164" t="s">
        <v>277</v>
      </c>
      <c r="B419" s="163" t="s">
        <v>504</v>
      </c>
      <c r="C419" s="163" t="s">
        <v>124</v>
      </c>
      <c r="D419" s="163" t="s">
        <v>276</v>
      </c>
      <c r="E419" s="163" t="s">
        <v>6</v>
      </c>
      <c r="F419" s="184">
        <f>F432+F420+F423+F429</f>
        <v>48339385.129999995</v>
      </c>
    </row>
    <row r="420" spans="1:8" ht="95.25" hidden="1" customHeight="1" outlineLevel="1">
      <c r="A420" s="164" t="s">
        <v>429</v>
      </c>
      <c r="B420" s="163" t="s">
        <v>504</v>
      </c>
      <c r="C420" s="163" t="s">
        <v>124</v>
      </c>
      <c r="D420" s="163" t="s">
        <v>430</v>
      </c>
      <c r="E420" s="163" t="s">
        <v>6</v>
      </c>
      <c r="F420" s="167">
        <f t="shared" ref="F420:F421" si="117">F421</f>
        <v>0</v>
      </c>
    </row>
    <row r="421" spans="1:8" hidden="1" outlineLevel="1">
      <c r="A421" s="164" t="s">
        <v>90</v>
      </c>
      <c r="B421" s="163" t="s">
        <v>504</v>
      </c>
      <c r="C421" s="163" t="s">
        <v>124</v>
      </c>
      <c r="D421" s="163" t="s">
        <v>430</v>
      </c>
      <c r="E421" s="163" t="s">
        <v>91</v>
      </c>
      <c r="F421" s="167">
        <f t="shared" si="117"/>
        <v>0</v>
      </c>
    </row>
    <row r="422" spans="1:8" hidden="1" outlineLevel="1">
      <c r="A422" s="164" t="s">
        <v>92</v>
      </c>
      <c r="B422" s="163" t="s">
        <v>504</v>
      </c>
      <c r="C422" s="163" t="s">
        <v>124</v>
      </c>
      <c r="D422" s="163" t="s">
        <v>430</v>
      </c>
      <c r="E422" s="163" t="s">
        <v>93</v>
      </c>
      <c r="F422" s="167">
        <f>1035455.64-1035455.64</f>
        <v>0</v>
      </c>
    </row>
    <row r="423" spans="1:8" s="266" customFormat="1" ht="90" outlineLevel="1">
      <c r="A423" s="187" t="s">
        <v>431</v>
      </c>
      <c r="B423" s="163" t="s">
        <v>504</v>
      </c>
      <c r="C423" s="163" t="s">
        <v>124</v>
      </c>
      <c r="D423" s="163" t="s">
        <v>432</v>
      </c>
      <c r="E423" s="163" t="s">
        <v>6</v>
      </c>
      <c r="F423" s="167">
        <f>F424+F426</f>
        <v>21927344.399999999</v>
      </c>
      <c r="G423" s="265"/>
      <c r="H423" s="265"/>
    </row>
    <row r="424" spans="1:8" ht="36" outlineLevel="1">
      <c r="A424" s="164" t="s">
        <v>15</v>
      </c>
      <c r="B424" s="163" t="s">
        <v>504</v>
      </c>
      <c r="C424" s="163" t="s">
        <v>124</v>
      </c>
      <c r="D424" s="163" t="s">
        <v>432</v>
      </c>
      <c r="E424" s="163" t="s">
        <v>16</v>
      </c>
      <c r="F424" s="167">
        <f>F425</f>
        <v>130000</v>
      </c>
    </row>
    <row r="425" spans="1:8" s="266" customFormat="1" ht="37.5" customHeight="1" outlineLevel="1">
      <c r="A425" s="164" t="s">
        <v>17</v>
      </c>
      <c r="B425" s="163" t="s">
        <v>504</v>
      </c>
      <c r="C425" s="163" t="s">
        <v>124</v>
      </c>
      <c r="D425" s="163" t="s">
        <v>432</v>
      </c>
      <c r="E425" s="163" t="s">
        <v>18</v>
      </c>
      <c r="F425" s="167">
        <v>130000</v>
      </c>
      <c r="G425" s="265"/>
      <c r="H425" s="265"/>
    </row>
    <row r="426" spans="1:8" outlineLevel="1">
      <c r="A426" s="164" t="s">
        <v>90</v>
      </c>
      <c r="B426" s="163" t="s">
        <v>504</v>
      </c>
      <c r="C426" s="163" t="s">
        <v>124</v>
      </c>
      <c r="D426" s="163" t="s">
        <v>432</v>
      </c>
      <c r="E426" s="163" t="s">
        <v>91</v>
      </c>
      <c r="F426" s="167">
        <f>F427+F428</f>
        <v>21797344.399999999</v>
      </c>
    </row>
    <row r="427" spans="1:8" ht="23.1" customHeight="1" outlineLevel="1">
      <c r="A427" s="164" t="s">
        <v>92</v>
      </c>
      <c r="B427" s="163" t="s">
        <v>504</v>
      </c>
      <c r="C427" s="163" t="s">
        <v>124</v>
      </c>
      <c r="D427" s="163" t="s">
        <v>432</v>
      </c>
      <c r="E427" s="163" t="s">
        <v>93</v>
      </c>
      <c r="F427" s="167">
        <v>19797344.399999999</v>
      </c>
    </row>
    <row r="428" spans="1:8" ht="47.25" customHeight="1" outlineLevel="1">
      <c r="A428" s="164" t="s">
        <v>97</v>
      </c>
      <c r="B428" s="163" t="s">
        <v>504</v>
      </c>
      <c r="C428" s="163" t="s">
        <v>124</v>
      </c>
      <c r="D428" s="163" t="s">
        <v>432</v>
      </c>
      <c r="E428" s="163" t="s">
        <v>98</v>
      </c>
      <c r="F428" s="167">
        <v>2000000</v>
      </c>
    </row>
    <row r="429" spans="1:8" ht="84.15" customHeight="1" outlineLevel="1">
      <c r="A429" s="187" t="s">
        <v>775</v>
      </c>
      <c r="B429" s="163" t="s">
        <v>504</v>
      </c>
      <c r="C429" s="163" t="s">
        <v>124</v>
      </c>
      <c r="D429" s="163" t="s">
        <v>814</v>
      </c>
      <c r="E429" s="163" t="s">
        <v>6</v>
      </c>
      <c r="F429" s="167">
        <f t="shared" ref="F429:F430" si="118">F430</f>
        <v>16214571.039999999</v>
      </c>
    </row>
    <row r="430" spans="1:8" ht="42.75" customHeight="1" outlineLevel="1">
      <c r="A430" s="164" t="s">
        <v>264</v>
      </c>
      <c r="B430" s="163" t="s">
        <v>504</v>
      </c>
      <c r="C430" s="163" t="s">
        <v>124</v>
      </c>
      <c r="D430" s="163" t="s">
        <v>814</v>
      </c>
      <c r="E430" s="163" t="s">
        <v>265</v>
      </c>
      <c r="F430" s="167">
        <f t="shared" si="118"/>
        <v>16214571.039999999</v>
      </c>
    </row>
    <row r="431" spans="1:8" ht="28.5" customHeight="1" outlineLevel="1">
      <c r="A431" s="164" t="s">
        <v>266</v>
      </c>
      <c r="B431" s="163" t="s">
        <v>504</v>
      </c>
      <c r="C431" s="163" t="s">
        <v>124</v>
      </c>
      <c r="D431" s="163" t="s">
        <v>814</v>
      </c>
      <c r="E431" s="163" t="s">
        <v>267</v>
      </c>
      <c r="F431" s="167">
        <v>16214571.039999999</v>
      </c>
    </row>
    <row r="432" spans="1:8" ht="99" customHeight="1" outlineLevel="1">
      <c r="A432" s="187" t="s">
        <v>667</v>
      </c>
      <c r="B432" s="163" t="s">
        <v>504</v>
      </c>
      <c r="C432" s="163" t="s">
        <v>124</v>
      </c>
      <c r="D432" s="163" t="s">
        <v>295</v>
      </c>
      <c r="E432" s="163" t="s">
        <v>6</v>
      </c>
      <c r="F432" s="184">
        <f t="shared" ref="F432:F433" si="119">F433</f>
        <v>10197469.689999999</v>
      </c>
    </row>
    <row r="433" spans="1:8" ht="36" outlineLevel="1">
      <c r="A433" s="164" t="s">
        <v>264</v>
      </c>
      <c r="B433" s="163" t="s">
        <v>504</v>
      </c>
      <c r="C433" s="163" t="s">
        <v>124</v>
      </c>
      <c r="D433" s="163" t="s">
        <v>295</v>
      </c>
      <c r="E433" s="163" t="s">
        <v>265</v>
      </c>
      <c r="F433" s="184">
        <f t="shared" si="119"/>
        <v>10197469.689999999</v>
      </c>
    </row>
    <row r="434" spans="1:8" outlineLevel="1">
      <c r="A434" s="164" t="s">
        <v>266</v>
      </c>
      <c r="B434" s="163" t="s">
        <v>504</v>
      </c>
      <c r="C434" s="163" t="s">
        <v>124</v>
      </c>
      <c r="D434" s="163" t="s">
        <v>295</v>
      </c>
      <c r="E434" s="163" t="s">
        <v>267</v>
      </c>
      <c r="F434" s="167">
        <v>10197469.689999999</v>
      </c>
    </row>
    <row r="435" spans="1:8" outlineLevel="1">
      <c r="A435" s="196" t="s">
        <v>100</v>
      </c>
      <c r="B435" s="197" t="s">
        <v>504</v>
      </c>
      <c r="C435" s="197" t="s">
        <v>101</v>
      </c>
      <c r="D435" s="197" t="s">
        <v>126</v>
      </c>
      <c r="E435" s="197" t="s">
        <v>6</v>
      </c>
      <c r="F435" s="209">
        <f t="shared" ref="F435" si="120">F436</f>
        <v>2763559.99</v>
      </c>
    </row>
    <row r="436" spans="1:8" ht="22.65" customHeight="1" outlineLevel="1">
      <c r="A436" s="164" t="s">
        <v>301</v>
      </c>
      <c r="B436" s="163" t="s">
        <v>504</v>
      </c>
      <c r="C436" s="163" t="s">
        <v>300</v>
      </c>
      <c r="D436" s="163" t="s">
        <v>126</v>
      </c>
      <c r="E436" s="163" t="s">
        <v>6</v>
      </c>
      <c r="F436" s="184">
        <f>F437+F454</f>
        <v>2763559.99</v>
      </c>
    </row>
    <row r="437" spans="1:8" ht="48.75" customHeight="1" outlineLevel="1">
      <c r="A437" s="196" t="s">
        <v>864</v>
      </c>
      <c r="B437" s="197" t="s">
        <v>504</v>
      </c>
      <c r="C437" s="197" t="s">
        <v>300</v>
      </c>
      <c r="D437" s="197" t="s">
        <v>200</v>
      </c>
      <c r="E437" s="197" t="s">
        <v>6</v>
      </c>
      <c r="F437" s="209">
        <f t="shared" ref="F437" si="121">F438+F444</f>
        <v>2713559.99</v>
      </c>
    </row>
    <row r="438" spans="1:8" ht="36" outlineLevel="1">
      <c r="A438" s="164" t="s">
        <v>865</v>
      </c>
      <c r="B438" s="163" t="s">
        <v>504</v>
      </c>
      <c r="C438" s="163" t="s">
        <v>300</v>
      </c>
      <c r="D438" s="163" t="s">
        <v>230</v>
      </c>
      <c r="E438" s="163" t="s">
        <v>6</v>
      </c>
      <c r="F438" s="184">
        <f t="shared" ref="F438" si="122">F439</f>
        <v>861000</v>
      </c>
    </row>
    <row r="439" spans="1:8" ht="20.25" customHeight="1" outlineLevel="1">
      <c r="A439" s="164" t="s">
        <v>102</v>
      </c>
      <c r="B439" s="163" t="s">
        <v>504</v>
      </c>
      <c r="C439" s="163" t="s">
        <v>300</v>
      </c>
      <c r="D439" s="163" t="s">
        <v>201</v>
      </c>
      <c r="E439" s="163" t="s">
        <v>6</v>
      </c>
      <c r="F439" s="184">
        <f t="shared" ref="F439" si="123">F440+F442</f>
        <v>861000</v>
      </c>
    </row>
    <row r="440" spans="1:8" ht="21.15" customHeight="1" outlineLevel="1">
      <c r="A440" s="164" t="s">
        <v>15</v>
      </c>
      <c r="B440" s="163" t="s">
        <v>504</v>
      </c>
      <c r="C440" s="163" t="s">
        <v>300</v>
      </c>
      <c r="D440" s="163" t="s">
        <v>201</v>
      </c>
      <c r="E440" s="163" t="s">
        <v>16</v>
      </c>
      <c r="F440" s="184">
        <f t="shared" ref="F440" si="124">F441</f>
        <v>831000</v>
      </c>
    </row>
    <row r="441" spans="1:8" s="266" customFormat="1" ht="36" outlineLevel="1">
      <c r="A441" s="164" t="s">
        <v>17</v>
      </c>
      <c r="B441" s="163" t="s">
        <v>504</v>
      </c>
      <c r="C441" s="163" t="s">
        <v>300</v>
      </c>
      <c r="D441" s="163" t="s">
        <v>201</v>
      </c>
      <c r="E441" s="163" t="s">
        <v>18</v>
      </c>
      <c r="F441" s="218">
        <f>потребность!L432</f>
        <v>831000</v>
      </c>
      <c r="G441" s="265"/>
      <c r="H441" s="265"/>
    </row>
    <row r="442" spans="1:8" ht="24.75" customHeight="1" outlineLevel="2">
      <c r="A442" s="164" t="s">
        <v>271</v>
      </c>
      <c r="B442" s="163" t="s">
        <v>504</v>
      </c>
      <c r="C442" s="163" t="s">
        <v>300</v>
      </c>
      <c r="D442" s="163" t="s">
        <v>201</v>
      </c>
      <c r="E442" s="163" t="s">
        <v>20</v>
      </c>
      <c r="F442" s="184">
        <f t="shared" ref="F442" si="125">F443</f>
        <v>30000</v>
      </c>
    </row>
    <row r="443" spans="1:8" s="266" customFormat="1" ht="27.75" customHeight="1" outlineLevel="3">
      <c r="A443" s="164" t="s">
        <v>272</v>
      </c>
      <c r="B443" s="163" t="s">
        <v>504</v>
      </c>
      <c r="C443" s="163" t="s">
        <v>300</v>
      </c>
      <c r="D443" s="163" t="s">
        <v>201</v>
      </c>
      <c r="E443" s="163" t="s">
        <v>22</v>
      </c>
      <c r="F443" s="184">
        <v>30000</v>
      </c>
      <c r="G443" s="265"/>
      <c r="H443" s="265"/>
    </row>
    <row r="444" spans="1:8" ht="24.75" customHeight="1" outlineLevel="4">
      <c r="A444" s="164" t="s">
        <v>378</v>
      </c>
      <c r="B444" s="163" t="s">
        <v>504</v>
      </c>
      <c r="C444" s="163" t="s">
        <v>300</v>
      </c>
      <c r="D444" s="163" t="s">
        <v>303</v>
      </c>
      <c r="E444" s="163" t="s">
        <v>6</v>
      </c>
      <c r="F444" s="167">
        <f>F445+F448+F451</f>
        <v>1852559.99</v>
      </c>
    </row>
    <row r="445" spans="1:8" ht="36" outlineLevel="5">
      <c r="A445" s="164" t="s">
        <v>281</v>
      </c>
      <c r="B445" s="163" t="s">
        <v>504</v>
      </c>
      <c r="C445" s="163" t="s">
        <v>300</v>
      </c>
      <c r="D445" s="163" t="s">
        <v>302</v>
      </c>
      <c r="E445" s="163" t="s">
        <v>6</v>
      </c>
      <c r="F445" s="167">
        <f t="shared" ref="F445:F446" si="126">F446</f>
        <v>1127310</v>
      </c>
    </row>
    <row r="446" spans="1:8" ht="36" outlineLevel="6">
      <c r="A446" s="164" t="s">
        <v>264</v>
      </c>
      <c r="B446" s="163" t="s">
        <v>504</v>
      </c>
      <c r="C446" s="163" t="s">
        <v>300</v>
      </c>
      <c r="D446" s="163" t="s">
        <v>302</v>
      </c>
      <c r="E446" s="163" t="s">
        <v>265</v>
      </c>
      <c r="F446" s="167">
        <f t="shared" si="126"/>
        <v>1127310</v>
      </c>
    </row>
    <row r="447" spans="1:8" outlineLevel="7">
      <c r="A447" s="164" t="s">
        <v>266</v>
      </c>
      <c r="B447" s="163" t="s">
        <v>504</v>
      </c>
      <c r="C447" s="163" t="s">
        <v>300</v>
      </c>
      <c r="D447" s="163" t="s">
        <v>302</v>
      </c>
      <c r="E447" s="163" t="s">
        <v>267</v>
      </c>
      <c r="F447" s="184">
        <v>1127310</v>
      </c>
    </row>
    <row r="448" spans="1:8" ht="54" outlineLevel="7">
      <c r="A448" s="164" t="s">
        <v>778</v>
      </c>
      <c r="B448" s="163" t="s">
        <v>504</v>
      </c>
      <c r="C448" s="163" t="s">
        <v>300</v>
      </c>
      <c r="D448" s="163" t="s">
        <v>779</v>
      </c>
      <c r="E448" s="163" t="s">
        <v>6</v>
      </c>
      <c r="F448" s="184">
        <f>F449</f>
        <v>703249.99</v>
      </c>
    </row>
    <row r="449" spans="1:8" ht="36" outlineLevel="7">
      <c r="A449" s="164" t="s">
        <v>15</v>
      </c>
      <c r="B449" s="163" t="s">
        <v>504</v>
      </c>
      <c r="C449" s="163" t="s">
        <v>300</v>
      </c>
      <c r="D449" s="163" t="s">
        <v>779</v>
      </c>
      <c r="E449" s="163" t="s">
        <v>16</v>
      </c>
      <c r="F449" s="184">
        <f>F450</f>
        <v>703249.99</v>
      </c>
    </row>
    <row r="450" spans="1:8" ht="36" outlineLevel="7">
      <c r="A450" s="164" t="s">
        <v>17</v>
      </c>
      <c r="B450" s="163" t="s">
        <v>504</v>
      </c>
      <c r="C450" s="163" t="s">
        <v>300</v>
      </c>
      <c r="D450" s="163" t="s">
        <v>779</v>
      </c>
      <c r="E450" s="163" t="s">
        <v>18</v>
      </c>
      <c r="F450" s="184">
        <f>потребность!I441+0.99</f>
        <v>703249.99</v>
      </c>
    </row>
    <row r="451" spans="1:8" ht="54" outlineLevel="7">
      <c r="A451" s="164" t="s">
        <v>791</v>
      </c>
      <c r="B451" s="163" t="s">
        <v>504</v>
      </c>
      <c r="C451" s="163" t="s">
        <v>300</v>
      </c>
      <c r="D451" s="163" t="s">
        <v>790</v>
      </c>
      <c r="E451" s="163" t="s">
        <v>6</v>
      </c>
      <c r="F451" s="184">
        <f>F452</f>
        <v>22000</v>
      </c>
    </row>
    <row r="452" spans="1:8" ht="36" outlineLevel="7">
      <c r="A452" s="164" t="s">
        <v>15</v>
      </c>
      <c r="B452" s="163" t="s">
        <v>504</v>
      </c>
      <c r="C452" s="163" t="s">
        <v>300</v>
      </c>
      <c r="D452" s="163" t="s">
        <v>790</v>
      </c>
      <c r="E452" s="163" t="s">
        <v>16</v>
      </c>
      <c r="F452" s="184">
        <f>F453</f>
        <v>22000</v>
      </c>
    </row>
    <row r="453" spans="1:8" ht="25.5" customHeight="1" outlineLevel="7">
      <c r="A453" s="164" t="s">
        <v>17</v>
      </c>
      <c r="B453" s="163" t="s">
        <v>504</v>
      </c>
      <c r="C453" s="163" t="s">
        <v>300</v>
      </c>
      <c r="D453" s="163" t="s">
        <v>790</v>
      </c>
      <c r="E453" s="163" t="s">
        <v>18</v>
      </c>
      <c r="F453" s="184">
        <v>22000</v>
      </c>
    </row>
    <row r="454" spans="1:8" s="264" customFormat="1" ht="66.75" customHeight="1">
      <c r="A454" s="201" t="s">
        <v>856</v>
      </c>
      <c r="B454" s="197" t="s">
        <v>504</v>
      </c>
      <c r="C454" s="197" t="s">
        <v>300</v>
      </c>
      <c r="D454" s="197" t="s">
        <v>464</v>
      </c>
      <c r="E454" s="197" t="s">
        <v>6</v>
      </c>
      <c r="F454" s="167">
        <f t="shared" ref="F454:F457" si="127">F455</f>
        <v>50000</v>
      </c>
      <c r="G454" s="263"/>
      <c r="H454" s="263"/>
    </row>
    <row r="455" spans="1:8" outlineLevel="1">
      <c r="A455" s="211" t="s">
        <v>465</v>
      </c>
      <c r="B455" s="163" t="s">
        <v>504</v>
      </c>
      <c r="C455" s="163" t="s">
        <v>300</v>
      </c>
      <c r="D455" s="163" t="s">
        <v>466</v>
      </c>
      <c r="E455" s="163" t="s">
        <v>6</v>
      </c>
      <c r="F455" s="167">
        <f t="shared" si="127"/>
        <v>50000</v>
      </c>
    </row>
    <row r="456" spans="1:8" ht="37.5" customHeight="1" outlineLevel="2">
      <c r="A456" s="164" t="s">
        <v>467</v>
      </c>
      <c r="B456" s="163" t="s">
        <v>504</v>
      </c>
      <c r="C456" s="163" t="s">
        <v>300</v>
      </c>
      <c r="D456" s="163" t="s">
        <v>468</v>
      </c>
      <c r="E456" s="163" t="s">
        <v>6</v>
      </c>
      <c r="F456" s="167">
        <f t="shared" si="127"/>
        <v>50000</v>
      </c>
    </row>
    <row r="457" spans="1:8" ht="36" outlineLevel="4">
      <c r="A457" s="164" t="s">
        <v>15</v>
      </c>
      <c r="B457" s="163" t="s">
        <v>504</v>
      </c>
      <c r="C457" s="163" t="s">
        <v>300</v>
      </c>
      <c r="D457" s="163" t="s">
        <v>468</v>
      </c>
      <c r="E457" s="163" t="s">
        <v>16</v>
      </c>
      <c r="F457" s="167">
        <f t="shared" si="127"/>
        <v>50000</v>
      </c>
    </row>
    <row r="458" spans="1:8" ht="36" outlineLevel="5">
      <c r="A458" s="164" t="s">
        <v>17</v>
      </c>
      <c r="B458" s="163" t="s">
        <v>504</v>
      </c>
      <c r="C458" s="163" t="s">
        <v>300</v>
      </c>
      <c r="D458" s="163" t="s">
        <v>468</v>
      </c>
      <c r="E458" s="163" t="s">
        <v>18</v>
      </c>
      <c r="F458" s="184">
        <v>50000</v>
      </c>
    </row>
    <row r="459" spans="1:8" outlineLevel="6">
      <c r="A459" s="196" t="s">
        <v>103</v>
      </c>
      <c r="B459" s="163" t="s">
        <v>504</v>
      </c>
      <c r="C459" s="197" t="s">
        <v>104</v>
      </c>
      <c r="D459" s="197" t="s">
        <v>126</v>
      </c>
      <c r="E459" s="197" t="s">
        <v>6</v>
      </c>
      <c r="F459" s="171">
        <f t="shared" ref="F459:F464" si="128">F460</f>
        <v>2747000</v>
      </c>
    </row>
    <row r="460" spans="1:8" outlineLevel="7">
      <c r="A460" s="164" t="s">
        <v>105</v>
      </c>
      <c r="B460" s="163" t="s">
        <v>504</v>
      </c>
      <c r="C460" s="163" t="s">
        <v>106</v>
      </c>
      <c r="D460" s="163" t="s">
        <v>126</v>
      </c>
      <c r="E460" s="163" t="s">
        <v>6</v>
      </c>
      <c r="F460" s="167">
        <f t="shared" si="128"/>
        <v>2747000</v>
      </c>
    </row>
    <row r="461" spans="1:8" ht="54" outlineLevel="5">
      <c r="A461" s="196" t="s">
        <v>857</v>
      </c>
      <c r="B461" s="163" t="s">
        <v>504</v>
      </c>
      <c r="C461" s="197" t="s">
        <v>106</v>
      </c>
      <c r="D461" s="197" t="s">
        <v>317</v>
      </c>
      <c r="E461" s="197" t="s">
        <v>6</v>
      </c>
      <c r="F461" s="171">
        <f>F462</f>
        <v>2747000</v>
      </c>
    </row>
    <row r="462" spans="1:8" ht="36" outlineLevel="6">
      <c r="A462" s="200" t="s">
        <v>327</v>
      </c>
      <c r="B462" s="163" t="s">
        <v>504</v>
      </c>
      <c r="C462" s="163" t="s">
        <v>106</v>
      </c>
      <c r="D462" s="163" t="s">
        <v>318</v>
      </c>
      <c r="E462" s="163" t="s">
        <v>6</v>
      </c>
      <c r="F462" s="167">
        <f t="shared" si="128"/>
        <v>2747000</v>
      </c>
    </row>
    <row r="463" spans="1:8" ht="36" outlineLevel="7">
      <c r="A463" s="164" t="s">
        <v>107</v>
      </c>
      <c r="B463" s="163" t="s">
        <v>504</v>
      </c>
      <c r="C463" s="163" t="s">
        <v>106</v>
      </c>
      <c r="D463" s="163" t="s">
        <v>319</v>
      </c>
      <c r="E463" s="163" t="s">
        <v>6</v>
      </c>
      <c r="F463" s="167">
        <f t="shared" si="128"/>
        <v>2747000</v>
      </c>
    </row>
    <row r="464" spans="1:8" ht="36" outlineLevel="6">
      <c r="A464" s="164" t="s">
        <v>37</v>
      </c>
      <c r="B464" s="163" t="s">
        <v>504</v>
      </c>
      <c r="C464" s="163" t="s">
        <v>106</v>
      </c>
      <c r="D464" s="163" t="s">
        <v>319</v>
      </c>
      <c r="E464" s="163" t="s">
        <v>38</v>
      </c>
      <c r="F464" s="167">
        <f t="shared" si="128"/>
        <v>2747000</v>
      </c>
    </row>
    <row r="465" spans="1:8" ht="20.25" customHeight="1" outlineLevel="7">
      <c r="A465" s="164" t="s">
        <v>39</v>
      </c>
      <c r="B465" s="163" t="s">
        <v>504</v>
      </c>
      <c r="C465" s="163" t="s">
        <v>106</v>
      </c>
      <c r="D465" s="163" t="s">
        <v>319</v>
      </c>
      <c r="E465" s="163" t="s">
        <v>40</v>
      </c>
      <c r="F465" s="167">
        <f>потребность!I456+247000</f>
        <v>2747000</v>
      </c>
    </row>
    <row r="466" spans="1:8" ht="29.85" customHeight="1" outlineLevel="6">
      <c r="A466" s="191" t="s">
        <v>531</v>
      </c>
      <c r="B466" s="192" t="s">
        <v>505</v>
      </c>
      <c r="C466" s="192" t="s">
        <v>5</v>
      </c>
      <c r="D466" s="192" t="s">
        <v>126</v>
      </c>
      <c r="E466" s="192" t="s">
        <v>6</v>
      </c>
      <c r="F466" s="215">
        <f t="shared" ref="F466" si="129">F467</f>
        <v>5604070.29</v>
      </c>
    </row>
    <row r="467" spans="1:8" outlineLevel="7">
      <c r="A467" s="164" t="s">
        <v>7</v>
      </c>
      <c r="B467" s="163" t="s">
        <v>505</v>
      </c>
      <c r="C467" s="163" t="s">
        <v>8</v>
      </c>
      <c r="D467" s="163" t="s">
        <v>126</v>
      </c>
      <c r="E467" s="163" t="s">
        <v>6</v>
      </c>
      <c r="F467" s="167">
        <f t="shared" ref="F467" si="130">F468+F483+F488</f>
        <v>5604070.29</v>
      </c>
    </row>
    <row r="468" spans="1:8" ht="54" outlineLevel="5">
      <c r="A468" s="164" t="s">
        <v>108</v>
      </c>
      <c r="B468" s="163" t="s">
        <v>505</v>
      </c>
      <c r="C468" s="163" t="s">
        <v>109</v>
      </c>
      <c r="D468" s="163" t="s">
        <v>126</v>
      </c>
      <c r="E468" s="163" t="s">
        <v>6</v>
      </c>
      <c r="F468" s="167">
        <f t="shared" ref="F468" si="131">F469</f>
        <v>5466790.29</v>
      </c>
    </row>
    <row r="469" spans="1:8" ht="36" outlineLevel="6">
      <c r="A469" s="164" t="s">
        <v>132</v>
      </c>
      <c r="B469" s="163" t="s">
        <v>505</v>
      </c>
      <c r="C469" s="163" t="s">
        <v>109</v>
      </c>
      <c r="D469" s="163" t="s">
        <v>127</v>
      </c>
      <c r="E469" s="163" t="s">
        <v>6</v>
      </c>
      <c r="F469" s="167">
        <f t="shared" ref="F469" si="132">F470+F473+F480</f>
        <v>5466790.29</v>
      </c>
    </row>
    <row r="470" spans="1:8" outlineLevel="7">
      <c r="A470" s="164" t="s">
        <v>532</v>
      </c>
      <c r="B470" s="163" t="s">
        <v>505</v>
      </c>
      <c r="C470" s="163" t="s">
        <v>109</v>
      </c>
      <c r="D470" s="163" t="s">
        <v>533</v>
      </c>
      <c r="E470" s="163" t="s">
        <v>6</v>
      </c>
      <c r="F470" s="167">
        <f t="shared" ref="F470:F471" si="133">F471</f>
        <v>2517857.96</v>
      </c>
    </row>
    <row r="471" spans="1:8" ht="37.5" customHeight="1" outlineLevel="2">
      <c r="A471" s="164" t="s">
        <v>11</v>
      </c>
      <c r="B471" s="163" t="s">
        <v>505</v>
      </c>
      <c r="C471" s="163" t="s">
        <v>109</v>
      </c>
      <c r="D471" s="163" t="s">
        <v>533</v>
      </c>
      <c r="E471" s="163" t="s">
        <v>12</v>
      </c>
      <c r="F471" s="167">
        <f t="shared" si="133"/>
        <v>2517857.96</v>
      </c>
    </row>
    <row r="472" spans="1:8" ht="36" outlineLevel="4">
      <c r="A472" s="164" t="s">
        <v>13</v>
      </c>
      <c r="B472" s="163" t="s">
        <v>505</v>
      </c>
      <c r="C472" s="163" t="s">
        <v>109</v>
      </c>
      <c r="D472" s="163" t="s">
        <v>533</v>
      </c>
      <c r="E472" s="163" t="s">
        <v>14</v>
      </c>
      <c r="F472" s="184">
        <f>потребность!I463</f>
        <v>2517857.96</v>
      </c>
    </row>
    <row r="473" spans="1:8" ht="36" outlineLevel="5">
      <c r="A473" s="164" t="s">
        <v>498</v>
      </c>
      <c r="B473" s="163" t="s">
        <v>505</v>
      </c>
      <c r="C473" s="163" t="s">
        <v>109</v>
      </c>
      <c r="D473" s="163" t="s">
        <v>499</v>
      </c>
      <c r="E473" s="163" t="s">
        <v>6</v>
      </c>
      <c r="F473" s="167">
        <f t="shared" ref="F473" si="134">F474+F476+F478</f>
        <v>2768932.33</v>
      </c>
    </row>
    <row r="474" spans="1:8" ht="72" outlineLevel="6">
      <c r="A474" s="164" t="s">
        <v>11</v>
      </c>
      <c r="B474" s="163" t="s">
        <v>505</v>
      </c>
      <c r="C474" s="163" t="s">
        <v>109</v>
      </c>
      <c r="D474" s="163" t="s">
        <v>499</v>
      </c>
      <c r="E474" s="163" t="s">
        <v>12</v>
      </c>
      <c r="F474" s="167">
        <f t="shared" ref="F474" si="135">F475</f>
        <v>2517432.33</v>
      </c>
    </row>
    <row r="475" spans="1:8" ht="36" outlineLevel="7">
      <c r="A475" s="164" t="s">
        <v>13</v>
      </c>
      <c r="B475" s="163" t="s">
        <v>505</v>
      </c>
      <c r="C475" s="163" t="s">
        <v>109</v>
      </c>
      <c r="D475" s="163" t="s">
        <v>499</v>
      </c>
      <c r="E475" s="163" t="s">
        <v>14</v>
      </c>
      <c r="F475" s="167">
        <f>потребность!I466</f>
        <v>2517432.33</v>
      </c>
    </row>
    <row r="476" spans="1:8" ht="36" outlineLevel="7">
      <c r="A476" s="164" t="s">
        <v>15</v>
      </c>
      <c r="B476" s="163" t="s">
        <v>505</v>
      </c>
      <c r="C476" s="163" t="s">
        <v>109</v>
      </c>
      <c r="D476" s="163" t="s">
        <v>499</v>
      </c>
      <c r="E476" s="163" t="s">
        <v>16</v>
      </c>
      <c r="F476" s="167">
        <f t="shared" ref="F476" si="136">F477</f>
        <v>246000</v>
      </c>
    </row>
    <row r="477" spans="1:8" ht="36" outlineLevel="7">
      <c r="A477" s="164" t="s">
        <v>17</v>
      </c>
      <c r="B477" s="163" t="s">
        <v>505</v>
      </c>
      <c r="C477" s="163" t="s">
        <v>109</v>
      </c>
      <c r="D477" s="163" t="s">
        <v>499</v>
      </c>
      <c r="E477" s="163" t="s">
        <v>18</v>
      </c>
      <c r="F477" s="184">
        <v>246000</v>
      </c>
    </row>
    <row r="478" spans="1:8" outlineLevel="2">
      <c r="A478" s="164" t="s">
        <v>19</v>
      </c>
      <c r="B478" s="163" t="s">
        <v>505</v>
      </c>
      <c r="C478" s="163" t="s">
        <v>109</v>
      </c>
      <c r="D478" s="163" t="s">
        <v>499</v>
      </c>
      <c r="E478" s="163" t="s">
        <v>20</v>
      </c>
      <c r="F478" s="167">
        <f t="shared" ref="F478" si="137">F479</f>
        <v>5500</v>
      </c>
    </row>
    <row r="479" spans="1:8" s="266" customFormat="1" outlineLevel="3">
      <c r="A479" s="164" t="s">
        <v>21</v>
      </c>
      <c r="B479" s="163" t="s">
        <v>505</v>
      </c>
      <c r="C479" s="163" t="s">
        <v>109</v>
      </c>
      <c r="D479" s="163" t="s">
        <v>499</v>
      </c>
      <c r="E479" s="163" t="s">
        <v>22</v>
      </c>
      <c r="F479" s="184">
        <v>5500</v>
      </c>
      <c r="G479" s="265"/>
      <c r="H479" s="265"/>
    </row>
    <row r="480" spans="1:8" outlineLevel="4">
      <c r="A480" s="164" t="s">
        <v>535</v>
      </c>
      <c r="B480" s="163" t="s">
        <v>505</v>
      </c>
      <c r="C480" s="163" t="s">
        <v>109</v>
      </c>
      <c r="D480" s="163" t="s">
        <v>534</v>
      </c>
      <c r="E480" s="163" t="s">
        <v>6</v>
      </c>
      <c r="F480" s="167">
        <f t="shared" ref="F480:F481" si="138">F481</f>
        <v>180000</v>
      </c>
    </row>
    <row r="481" spans="1:8" ht="72" outlineLevel="5">
      <c r="A481" s="164" t="s">
        <v>11</v>
      </c>
      <c r="B481" s="163" t="s">
        <v>505</v>
      </c>
      <c r="C481" s="163" t="s">
        <v>109</v>
      </c>
      <c r="D481" s="163" t="s">
        <v>534</v>
      </c>
      <c r="E481" s="163" t="s">
        <v>12</v>
      </c>
      <c r="F481" s="167">
        <f t="shared" si="138"/>
        <v>180000</v>
      </c>
    </row>
    <row r="482" spans="1:8" ht="31.65" customHeight="1" outlineLevel="6">
      <c r="A482" s="164" t="s">
        <v>13</v>
      </c>
      <c r="B482" s="163" t="s">
        <v>505</v>
      </c>
      <c r="C482" s="163" t="s">
        <v>109</v>
      </c>
      <c r="D482" s="163" t="s">
        <v>534</v>
      </c>
      <c r="E482" s="163" t="s">
        <v>14</v>
      </c>
      <c r="F482" s="184">
        <v>180000</v>
      </c>
    </row>
    <row r="483" spans="1:8" ht="22.65" hidden="1" customHeight="1" outlineLevel="7">
      <c r="A483" s="164" t="s">
        <v>9</v>
      </c>
      <c r="B483" s="163" t="s">
        <v>505</v>
      </c>
      <c r="C483" s="163" t="s">
        <v>10</v>
      </c>
      <c r="D483" s="163" t="s">
        <v>126</v>
      </c>
      <c r="E483" s="163" t="s">
        <v>6</v>
      </c>
      <c r="F483" s="167">
        <f t="shared" ref="F483:F486" si="139">F484</f>
        <v>0</v>
      </c>
    </row>
    <row r="484" spans="1:8" s="266" customFormat="1" ht="36" hidden="1" outlineLevel="7">
      <c r="A484" s="164" t="s">
        <v>132</v>
      </c>
      <c r="B484" s="163" t="s">
        <v>505</v>
      </c>
      <c r="C484" s="163" t="s">
        <v>10</v>
      </c>
      <c r="D484" s="163" t="s">
        <v>127</v>
      </c>
      <c r="E484" s="163" t="s">
        <v>6</v>
      </c>
      <c r="F484" s="167">
        <f t="shared" si="139"/>
        <v>0</v>
      </c>
      <c r="G484" s="265"/>
      <c r="H484" s="265"/>
    </row>
    <row r="485" spans="1:8" hidden="1" outlineLevel="7">
      <c r="A485" s="164" t="s">
        <v>120</v>
      </c>
      <c r="B485" s="163" t="s">
        <v>505</v>
      </c>
      <c r="C485" s="163" t="s">
        <v>10</v>
      </c>
      <c r="D485" s="163" t="s">
        <v>143</v>
      </c>
      <c r="E485" s="163" t="s">
        <v>6</v>
      </c>
      <c r="F485" s="167">
        <f t="shared" si="139"/>
        <v>0</v>
      </c>
    </row>
    <row r="486" spans="1:8" ht="72" hidden="1" outlineLevel="7">
      <c r="A486" s="164" t="s">
        <v>11</v>
      </c>
      <c r="B486" s="163" t="s">
        <v>505</v>
      </c>
      <c r="C486" s="163" t="s">
        <v>10</v>
      </c>
      <c r="D486" s="163" t="s">
        <v>143</v>
      </c>
      <c r="E486" s="163" t="s">
        <v>12</v>
      </c>
      <c r="F486" s="167">
        <f t="shared" si="139"/>
        <v>0</v>
      </c>
    </row>
    <row r="487" spans="1:8" ht="21.15" hidden="1" customHeight="1" outlineLevel="7">
      <c r="A487" s="164" t="s">
        <v>13</v>
      </c>
      <c r="B487" s="163" t="s">
        <v>505</v>
      </c>
      <c r="C487" s="163" t="s">
        <v>10</v>
      </c>
      <c r="D487" s="163" t="s">
        <v>143</v>
      </c>
      <c r="E487" s="163" t="s">
        <v>14</v>
      </c>
      <c r="F487" s="167"/>
    </row>
    <row r="488" spans="1:8" s="264" customFormat="1" collapsed="1">
      <c r="A488" s="164" t="s">
        <v>23</v>
      </c>
      <c r="B488" s="163" t="s">
        <v>505</v>
      </c>
      <c r="C488" s="163" t="s">
        <v>24</v>
      </c>
      <c r="D488" s="163" t="s">
        <v>126</v>
      </c>
      <c r="E488" s="163" t="s">
        <v>6</v>
      </c>
      <c r="F488" s="167">
        <f t="shared" ref="F488" si="140">F489+F494</f>
        <v>137280</v>
      </c>
      <c r="G488" s="267"/>
      <c r="H488" s="267"/>
    </row>
    <row r="489" spans="1:8" s="266" customFormat="1" ht="36" outlineLevel="1">
      <c r="A489" s="196" t="s">
        <v>858</v>
      </c>
      <c r="B489" s="197" t="s">
        <v>505</v>
      </c>
      <c r="C489" s="197" t="s">
        <v>24</v>
      </c>
      <c r="D489" s="197" t="s">
        <v>128</v>
      </c>
      <c r="E489" s="197" t="s">
        <v>6</v>
      </c>
      <c r="F489" s="171">
        <f t="shared" ref="F489:F492" si="141">F490</f>
        <v>33280</v>
      </c>
      <c r="G489" s="265"/>
      <c r="H489" s="265"/>
    </row>
    <row r="490" spans="1:8" ht="36" outlineLevel="2">
      <c r="A490" s="200" t="s">
        <v>863</v>
      </c>
      <c r="B490" s="163" t="s">
        <v>505</v>
      </c>
      <c r="C490" s="163" t="s">
        <v>24</v>
      </c>
      <c r="D490" s="163" t="s">
        <v>315</v>
      </c>
      <c r="E490" s="163" t="s">
        <v>6</v>
      </c>
      <c r="F490" s="167">
        <f t="shared" si="141"/>
        <v>33280</v>
      </c>
    </row>
    <row r="491" spans="1:8" s="266" customFormat="1" outlineLevel="3">
      <c r="A491" s="200" t="s">
        <v>321</v>
      </c>
      <c r="B491" s="163" t="s">
        <v>505</v>
      </c>
      <c r="C491" s="163" t="s">
        <v>24</v>
      </c>
      <c r="D491" s="163" t="s">
        <v>316</v>
      </c>
      <c r="E491" s="163" t="s">
        <v>6</v>
      </c>
      <c r="F491" s="167">
        <f t="shared" si="141"/>
        <v>33280</v>
      </c>
      <c r="G491" s="265"/>
      <c r="H491" s="265"/>
    </row>
    <row r="492" spans="1:8" ht="36" outlineLevel="4">
      <c r="A492" s="164" t="s">
        <v>15</v>
      </c>
      <c r="B492" s="163" t="s">
        <v>505</v>
      </c>
      <c r="C492" s="163" t="s">
        <v>24</v>
      </c>
      <c r="D492" s="163" t="s">
        <v>316</v>
      </c>
      <c r="E492" s="163" t="s">
        <v>16</v>
      </c>
      <c r="F492" s="167">
        <f t="shared" si="141"/>
        <v>33280</v>
      </c>
    </row>
    <row r="493" spans="1:8" ht="36" outlineLevel="4">
      <c r="A493" s="164" t="s">
        <v>17</v>
      </c>
      <c r="B493" s="163" t="s">
        <v>505</v>
      </c>
      <c r="C493" s="163" t="s">
        <v>24</v>
      </c>
      <c r="D493" s="163" t="s">
        <v>316</v>
      </c>
      <c r="E493" s="163" t="s">
        <v>18</v>
      </c>
      <c r="F493" s="167">
        <v>33280</v>
      </c>
    </row>
    <row r="494" spans="1:8" ht="36" outlineLevel="5">
      <c r="A494" s="196" t="s">
        <v>132</v>
      </c>
      <c r="B494" s="197" t="s">
        <v>505</v>
      </c>
      <c r="C494" s="197" t="s">
        <v>24</v>
      </c>
      <c r="D494" s="197" t="s">
        <v>127</v>
      </c>
      <c r="E494" s="197" t="s">
        <v>6</v>
      </c>
      <c r="F494" s="220">
        <f t="shared" ref="F494:F496" si="142">F495</f>
        <v>104000</v>
      </c>
    </row>
    <row r="495" spans="1:8" ht="36" outlineLevel="6">
      <c r="A495" s="164" t="s">
        <v>536</v>
      </c>
      <c r="B495" s="163" t="s">
        <v>505</v>
      </c>
      <c r="C495" s="163" t="s">
        <v>24</v>
      </c>
      <c r="D495" s="252">
        <v>9909970201</v>
      </c>
      <c r="E495" s="163" t="s">
        <v>6</v>
      </c>
      <c r="F495" s="218">
        <f t="shared" si="142"/>
        <v>104000</v>
      </c>
    </row>
    <row r="496" spans="1:8" ht="36" outlineLevel="7">
      <c r="A496" s="164" t="s">
        <v>15</v>
      </c>
      <c r="B496" s="163" t="s">
        <v>505</v>
      </c>
      <c r="C496" s="163" t="s">
        <v>24</v>
      </c>
      <c r="D496" s="252">
        <v>9909970201</v>
      </c>
      <c r="E496" s="163" t="s">
        <v>16</v>
      </c>
      <c r="F496" s="218">
        <f t="shared" si="142"/>
        <v>104000</v>
      </c>
    </row>
    <row r="497" spans="1:6" ht="45" customHeight="1" outlineLevel="7">
      <c r="A497" s="164" t="s">
        <v>17</v>
      </c>
      <c r="B497" s="163" t="s">
        <v>505</v>
      </c>
      <c r="C497" s="163" t="s">
        <v>24</v>
      </c>
      <c r="D497" s="252">
        <v>9909970201</v>
      </c>
      <c r="E497" s="163" t="s">
        <v>18</v>
      </c>
      <c r="F497" s="167">
        <v>104000</v>
      </c>
    </row>
    <row r="498" spans="1:6" ht="36" hidden="1" outlineLevel="7">
      <c r="A498" s="164" t="s">
        <v>9</v>
      </c>
      <c r="B498" s="163" t="s">
        <v>505</v>
      </c>
      <c r="C498" s="163" t="s">
        <v>10</v>
      </c>
      <c r="D498" s="163" t="s">
        <v>126</v>
      </c>
      <c r="E498" s="163" t="s">
        <v>6</v>
      </c>
      <c r="F498" s="167"/>
    </row>
    <row r="499" spans="1:6" ht="36" hidden="1" outlineLevel="7">
      <c r="A499" s="164" t="s">
        <v>132</v>
      </c>
      <c r="B499" s="163" t="s">
        <v>505</v>
      </c>
      <c r="C499" s="163" t="s">
        <v>10</v>
      </c>
      <c r="D499" s="163" t="s">
        <v>127</v>
      </c>
      <c r="E499" s="163" t="s">
        <v>6</v>
      </c>
      <c r="F499" s="167"/>
    </row>
    <row r="500" spans="1:6" ht="18.75" hidden="1" customHeight="1" outlineLevel="7">
      <c r="A500" s="164" t="s">
        <v>120</v>
      </c>
      <c r="B500" s="163" t="s">
        <v>505</v>
      </c>
      <c r="C500" s="163" t="s">
        <v>10</v>
      </c>
      <c r="D500" s="163" t="s">
        <v>143</v>
      </c>
      <c r="E500" s="163" t="s">
        <v>6</v>
      </c>
      <c r="F500" s="167"/>
    </row>
    <row r="501" spans="1:6" ht="72" hidden="1" outlineLevel="7">
      <c r="A501" s="164" t="s">
        <v>11</v>
      </c>
      <c r="B501" s="163" t="s">
        <v>505</v>
      </c>
      <c r="C501" s="163" t="s">
        <v>10</v>
      </c>
      <c r="D501" s="163" t="s">
        <v>143</v>
      </c>
      <c r="E501" s="163" t="s">
        <v>12</v>
      </c>
      <c r="F501" s="167"/>
    </row>
    <row r="502" spans="1:6" ht="36" hidden="1" outlineLevel="7">
      <c r="A502" s="164" t="s">
        <v>13</v>
      </c>
      <c r="B502" s="163" t="s">
        <v>505</v>
      </c>
      <c r="C502" s="163" t="s">
        <v>10</v>
      </c>
      <c r="D502" s="163" t="s">
        <v>143</v>
      </c>
      <c r="E502" s="163" t="s">
        <v>14</v>
      </c>
      <c r="F502" s="167"/>
    </row>
    <row r="503" spans="1:6" ht="36" hidden="1" outlineLevel="7">
      <c r="A503" s="164" t="s">
        <v>15</v>
      </c>
      <c r="B503" s="163" t="s">
        <v>505</v>
      </c>
      <c r="C503" s="163" t="s">
        <v>10</v>
      </c>
      <c r="D503" s="163" t="s">
        <v>143</v>
      </c>
      <c r="E503" s="163" t="s">
        <v>16</v>
      </c>
      <c r="F503" s="167"/>
    </row>
    <row r="504" spans="1:6" ht="36" hidden="1" outlineLevel="7">
      <c r="A504" s="164" t="s">
        <v>17</v>
      </c>
      <c r="B504" s="163" t="s">
        <v>505</v>
      </c>
      <c r="C504" s="163" t="s">
        <v>10</v>
      </c>
      <c r="D504" s="163" t="s">
        <v>143</v>
      </c>
      <c r="E504" s="163" t="s">
        <v>18</v>
      </c>
      <c r="F504" s="167"/>
    </row>
    <row r="505" spans="1:6" ht="34.799999999999997" outlineLevel="7">
      <c r="A505" s="191" t="s">
        <v>550</v>
      </c>
      <c r="B505" s="192" t="s">
        <v>540</v>
      </c>
      <c r="C505" s="192" t="s">
        <v>5</v>
      </c>
      <c r="D505" s="192" t="s">
        <v>126</v>
      </c>
      <c r="E505" s="192" t="s">
        <v>6</v>
      </c>
      <c r="F505" s="215">
        <f>F506+F645+F661</f>
        <v>590381202.76999998</v>
      </c>
    </row>
    <row r="506" spans="1:6" outlineLevel="7">
      <c r="A506" s="196" t="s">
        <v>69</v>
      </c>
      <c r="B506" s="197" t="s">
        <v>540</v>
      </c>
      <c r="C506" s="197" t="s">
        <v>70</v>
      </c>
      <c r="D506" s="197" t="s">
        <v>126</v>
      </c>
      <c r="E506" s="197" t="s">
        <v>6</v>
      </c>
      <c r="F506" s="171">
        <f>F507+F543+F606+F625+F583</f>
        <v>585892133.76999998</v>
      </c>
    </row>
    <row r="507" spans="1:6" outlineLevel="7">
      <c r="A507" s="164" t="s">
        <v>110</v>
      </c>
      <c r="B507" s="163" t="s">
        <v>540</v>
      </c>
      <c r="C507" s="163" t="s">
        <v>111</v>
      </c>
      <c r="D507" s="163" t="s">
        <v>126</v>
      </c>
      <c r="E507" s="163" t="s">
        <v>6</v>
      </c>
      <c r="F507" s="167">
        <f t="shared" ref="F507:F508" si="143">F508</f>
        <v>128334905.53</v>
      </c>
    </row>
    <row r="508" spans="1:6" ht="36" outlineLevel="7">
      <c r="A508" s="196" t="s">
        <v>853</v>
      </c>
      <c r="B508" s="197" t="s">
        <v>540</v>
      </c>
      <c r="C508" s="197" t="s">
        <v>111</v>
      </c>
      <c r="D508" s="197" t="s">
        <v>138</v>
      </c>
      <c r="E508" s="197" t="s">
        <v>6</v>
      </c>
      <c r="F508" s="171">
        <f t="shared" si="143"/>
        <v>128334905.53</v>
      </c>
    </row>
    <row r="509" spans="1:6" ht="36" outlineLevel="7">
      <c r="A509" s="164" t="s">
        <v>862</v>
      </c>
      <c r="B509" s="163" t="s">
        <v>540</v>
      </c>
      <c r="C509" s="163" t="s">
        <v>111</v>
      </c>
      <c r="D509" s="163" t="s">
        <v>139</v>
      </c>
      <c r="E509" s="163" t="s">
        <v>6</v>
      </c>
      <c r="F509" s="167">
        <f>F510+F517</f>
        <v>128334905.53</v>
      </c>
    </row>
    <row r="510" spans="1:6" ht="36" outlineLevel="7">
      <c r="A510" s="200" t="s">
        <v>202</v>
      </c>
      <c r="B510" s="163" t="s">
        <v>540</v>
      </c>
      <c r="C510" s="163" t="s">
        <v>111</v>
      </c>
      <c r="D510" s="163" t="s">
        <v>219</v>
      </c>
      <c r="E510" s="163" t="s">
        <v>6</v>
      </c>
      <c r="F510" s="167">
        <f>F511+F514</f>
        <v>124730052</v>
      </c>
    </row>
    <row r="511" spans="1:6" ht="36" outlineLevel="7">
      <c r="A511" s="164" t="s">
        <v>113</v>
      </c>
      <c r="B511" s="163" t="s">
        <v>540</v>
      </c>
      <c r="C511" s="163" t="s">
        <v>111</v>
      </c>
      <c r="D511" s="163" t="s">
        <v>144</v>
      </c>
      <c r="E511" s="163" t="s">
        <v>6</v>
      </c>
      <c r="F511" s="167">
        <f t="shared" ref="F511:F512" si="144">F512</f>
        <v>43502848</v>
      </c>
    </row>
    <row r="512" spans="1:6" ht="36" outlineLevel="7">
      <c r="A512" s="164" t="s">
        <v>37</v>
      </c>
      <c r="B512" s="163" t="s">
        <v>540</v>
      </c>
      <c r="C512" s="163" t="s">
        <v>111</v>
      </c>
      <c r="D512" s="163" t="s">
        <v>144</v>
      </c>
      <c r="E512" s="163" t="s">
        <v>38</v>
      </c>
      <c r="F512" s="167">
        <f t="shared" si="144"/>
        <v>43502848</v>
      </c>
    </row>
    <row r="513" spans="1:6" outlineLevel="7">
      <c r="A513" s="164" t="s">
        <v>74</v>
      </c>
      <c r="B513" s="163" t="s">
        <v>540</v>
      </c>
      <c r="C513" s="163" t="s">
        <v>111</v>
      </c>
      <c r="D513" s="163" t="s">
        <v>144</v>
      </c>
      <c r="E513" s="163" t="s">
        <v>75</v>
      </c>
      <c r="F513" s="218">
        <f>потребность!I504-3300000</f>
        <v>43502848</v>
      </c>
    </row>
    <row r="514" spans="1:6" ht="90" outlineLevel="7">
      <c r="A514" s="200" t="s">
        <v>397</v>
      </c>
      <c r="B514" s="163" t="s">
        <v>540</v>
      </c>
      <c r="C514" s="163" t="s">
        <v>111</v>
      </c>
      <c r="D514" s="163" t="s">
        <v>145</v>
      </c>
      <c r="E514" s="163" t="s">
        <v>6</v>
      </c>
      <c r="F514" s="167">
        <f t="shared" ref="F514:F515" si="145">F515</f>
        <v>81227204</v>
      </c>
    </row>
    <row r="515" spans="1:6" ht="36" outlineLevel="7">
      <c r="A515" s="164" t="s">
        <v>37</v>
      </c>
      <c r="B515" s="163" t="s">
        <v>540</v>
      </c>
      <c r="C515" s="163" t="s">
        <v>111</v>
      </c>
      <c r="D515" s="163" t="s">
        <v>145</v>
      </c>
      <c r="E515" s="163" t="s">
        <v>38</v>
      </c>
      <c r="F515" s="167">
        <f t="shared" si="145"/>
        <v>81227204</v>
      </c>
    </row>
    <row r="516" spans="1:6" ht="24.75" customHeight="1" outlineLevel="7">
      <c r="A516" s="164" t="s">
        <v>74</v>
      </c>
      <c r="B516" s="163" t="s">
        <v>540</v>
      </c>
      <c r="C516" s="163" t="s">
        <v>111</v>
      </c>
      <c r="D516" s="163" t="s">
        <v>145</v>
      </c>
      <c r="E516" s="163" t="s">
        <v>75</v>
      </c>
      <c r="F516" s="111">
        <v>81227204</v>
      </c>
    </row>
    <row r="517" spans="1:6" ht="36" outlineLevel="7">
      <c r="A517" s="200" t="s">
        <v>203</v>
      </c>
      <c r="B517" s="163" t="s">
        <v>540</v>
      </c>
      <c r="C517" s="163" t="s">
        <v>111</v>
      </c>
      <c r="D517" s="163" t="s">
        <v>221</v>
      </c>
      <c r="E517" s="163" t="s">
        <v>6</v>
      </c>
      <c r="F517" s="184">
        <f>F536+F518+F521+F524+F527+F530</f>
        <v>3604853.5300000003</v>
      </c>
    </row>
    <row r="518" spans="1:6" ht="36" outlineLevel="7">
      <c r="A518" s="164" t="s">
        <v>282</v>
      </c>
      <c r="B518" s="163" t="s">
        <v>540</v>
      </c>
      <c r="C518" s="163" t="s">
        <v>111</v>
      </c>
      <c r="D518" s="163" t="s">
        <v>283</v>
      </c>
      <c r="E518" s="163" t="s">
        <v>6</v>
      </c>
      <c r="F518" s="184">
        <f t="shared" ref="F518:F519" si="146">F519</f>
        <v>97500</v>
      </c>
    </row>
    <row r="519" spans="1:6" ht="22.65" customHeight="1" outlineLevel="7">
      <c r="A519" s="164" t="s">
        <v>37</v>
      </c>
      <c r="B519" s="163" t="s">
        <v>540</v>
      </c>
      <c r="C519" s="163" t="s">
        <v>111</v>
      </c>
      <c r="D519" s="163" t="s">
        <v>283</v>
      </c>
      <c r="E519" s="163" t="s">
        <v>38</v>
      </c>
      <c r="F519" s="184">
        <f t="shared" si="146"/>
        <v>97500</v>
      </c>
    </row>
    <row r="520" spans="1:6" outlineLevel="7">
      <c r="A520" s="164" t="s">
        <v>74</v>
      </c>
      <c r="B520" s="163" t="s">
        <v>540</v>
      </c>
      <c r="C520" s="163" t="s">
        <v>111</v>
      </c>
      <c r="D520" s="163" t="s">
        <v>283</v>
      </c>
      <c r="E520" s="163" t="s">
        <v>75</v>
      </c>
      <c r="F520" s="184">
        <v>97500</v>
      </c>
    </row>
    <row r="521" spans="1:6" outlineLevel="7">
      <c r="A521" s="164" t="s">
        <v>268</v>
      </c>
      <c r="B521" s="163" t="s">
        <v>540</v>
      </c>
      <c r="C521" s="163" t="s">
        <v>111</v>
      </c>
      <c r="D521" s="163" t="s">
        <v>284</v>
      </c>
      <c r="E521" s="163" t="s">
        <v>6</v>
      </c>
      <c r="F521" s="218">
        <f t="shared" ref="F521" si="147">F522</f>
        <v>152000</v>
      </c>
    </row>
    <row r="522" spans="1:6" ht="36" outlineLevel="7">
      <c r="A522" s="164" t="s">
        <v>37</v>
      </c>
      <c r="B522" s="163" t="s">
        <v>540</v>
      </c>
      <c r="C522" s="163" t="s">
        <v>111</v>
      </c>
      <c r="D522" s="163" t="s">
        <v>284</v>
      </c>
      <c r="E522" s="163" t="s">
        <v>38</v>
      </c>
      <c r="F522" s="218">
        <f>F523</f>
        <v>152000</v>
      </c>
    </row>
    <row r="523" spans="1:6" outlineLevel="7">
      <c r="A523" s="164" t="s">
        <v>74</v>
      </c>
      <c r="B523" s="163" t="s">
        <v>540</v>
      </c>
      <c r="C523" s="163" t="s">
        <v>111</v>
      </c>
      <c r="D523" s="163" t="s">
        <v>284</v>
      </c>
      <c r="E523" s="163" t="s">
        <v>75</v>
      </c>
      <c r="F523" s="184">
        <v>152000</v>
      </c>
    </row>
    <row r="524" spans="1:6" outlineLevel="7">
      <c r="A524" s="164" t="s">
        <v>311</v>
      </c>
      <c r="B524" s="163" t="s">
        <v>540</v>
      </c>
      <c r="C524" s="163" t="s">
        <v>111</v>
      </c>
      <c r="D524" s="163" t="s">
        <v>538</v>
      </c>
      <c r="E524" s="163" t="s">
        <v>6</v>
      </c>
      <c r="F524" s="184">
        <f t="shared" ref="F524:F525" si="148">F525</f>
        <v>273250</v>
      </c>
    </row>
    <row r="525" spans="1:6" ht="36" outlineLevel="7">
      <c r="A525" s="164" t="s">
        <v>37</v>
      </c>
      <c r="B525" s="163" t="s">
        <v>540</v>
      </c>
      <c r="C525" s="163" t="s">
        <v>111</v>
      </c>
      <c r="D525" s="163" t="s">
        <v>538</v>
      </c>
      <c r="E525" s="163" t="s">
        <v>38</v>
      </c>
      <c r="F525" s="184">
        <f t="shared" si="148"/>
        <v>273250</v>
      </c>
    </row>
    <row r="526" spans="1:6" outlineLevel="7">
      <c r="A526" s="164" t="s">
        <v>74</v>
      </c>
      <c r="B526" s="163" t="s">
        <v>540</v>
      </c>
      <c r="C526" s="163" t="s">
        <v>111</v>
      </c>
      <c r="D526" s="163" t="s">
        <v>538</v>
      </c>
      <c r="E526" s="163" t="s">
        <v>75</v>
      </c>
      <c r="F526" s="184">
        <v>273250</v>
      </c>
    </row>
    <row r="527" spans="1:6" ht="36" outlineLevel="7">
      <c r="A527" s="200" t="s">
        <v>459</v>
      </c>
      <c r="B527" s="163" t="s">
        <v>540</v>
      </c>
      <c r="C527" s="163" t="s">
        <v>111</v>
      </c>
      <c r="D527" s="163" t="s">
        <v>460</v>
      </c>
      <c r="E527" s="163" t="s">
        <v>6</v>
      </c>
      <c r="F527" s="184">
        <f t="shared" ref="F527:F528" si="149">F528</f>
        <v>400000</v>
      </c>
    </row>
    <row r="528" spans="1:6" ht="36" outlineLevel="7">
      <c r="A528" s="164" t="s">
        <v>37</v>
      </c>
      <c r="B528" s="163" t="s">
        <v>540</v>
      </c>
      <c r="C528" s="163" t="s">
        <v>111</v>
      </c>
      <c r="D528" s="163" t="s">
        <v>460</v>
      </c>
      <c r="E528" s="163" t="s">
        <v>38</v>
      </c>
      <c r="F528" s="184">
        <f t="shared" si="149"/>
        <v>400000</v>
      </c>
    </row>
    <row r="529" spans="1:8" outlineLevel="2">
      <c r="A529" s="164" t="s">
        <v>74</v>
      </c>
      <c r="B529" s="163" t="s">
        <v>540</v>
      </c>
      <c r="C529" s="163" t="s">
        <v>111</v>
      </c>
      <c r="D529" s="163" t="s">
        <v>460</v>
      </c>
      <c r="E529" s="163" t="s">
        <v>75</v>
      </c>
      <c r="F529" s="184">
        <f>потребность!I520+3300000-3000000</f>
        <v>400000</v>
      </c>
    </row>
    <row r="530" spans="1:8" s="266" customFormat="1" ht="46.5" customHeight="1" outlineLevel="3">
      <c r="A530" s="164" t="s">
        <v>845</v>
      </c>
      <c r="B530" s="163" t="s">
        <v>540</v>
      </c>
      <c r="C530" s="163" t="s">
        <v>111</v>
      </c>
      <c r="D530" s="163" t="s">
        <v>740</v>
      </c>
      <c r="E530" s="163" t="s">
        <v>6</v>
      </c>
      <c r="F530" s="184">
        <f t="shared" ref="F530:F531" si="150">F531</f>
        <v>2400000</v>
      </c>
      <c r="G530" s="265"/>
      <c r="H530" s="265"/>
    </row>
    <row r="531" spans="1:8" ht="24" customHeight="1" outlineLevel="4">
      <c r="A531" s="164" t="s">
        <v>37</v>
      </c>
      <c r="B531" s="163" t="s">
        <v>540</v>
      </c>
      <c r="C531" s="163" t="s">
        <v>111</v>
      </c>
      <c r="D531" s="163" t="s">
        <v>740</v>
      </c>
      <c r="E531" s="163" t="s">
        <v>38</v>
      </c>
      <c r="F531" s="184">
        <f t="shared" si="150"/>
        <v>2400000</v>
      </c>
    </row>
    <row r="532" spans="1:8" ht="22.65" customHeight="1" outlineLevel="4">
      <c r="A532" s="164" t="s">
        <v>74</v>
      </c>
      <c r="B532" s="163" t="s">
        <v>540</v>
      </c>
      <c r="C532" s="163" t="s">
        <v>111</v>
      </c>
      <c r="D532" s="163" t="s">
        <v>740</v>
      </c>
      <c r="E532" s="163" t="s">
        <v>75</v>
      </c>
      <c r="F532" s="184">
        <f>потребность!L521</f>
        <v>2400000</v>
      </c>
    </row>
    <row r="533" spans="1:8" ht="54" hidden="1" customHeight="1" outlineLevel="4">
      <c r="A533" s="187" t="s">
        <v>600</v>
      </c>
      <c r="B533" s="163" t="s">
        <v>540</v>
      </c>
      <c r="C533" s="163" t="s">
        <v>111</v>
      </c>
      <c r="D533" s="163" t="s">
        <v>601</v>
      </c>
      <c r="E533" s="163" t="s">
        <v>6</v>
      </c>
      <c r="F533" s="184">
        <f t="shared" ref="F533:F534" si="151">F534</f>
        <v>0</v>
      </c>
    </row>
    <row r="534" spans="1:8" ht="32.25" hidden="1" customHeight="1" outlineLevel="4">
      <c r="A534" s="164" t="s">
        <v>37</v>
      </c>
      <c r="B534" s="163" t="s">
        <v>540</v>
      </c>
      <c r="C534" s="163" t="s">
        <v>111</v>
      </c>
      <c r="D534" s="163" t="s">
        <v>601</v>
      </c>
      <c r="E534" s="163" t="s">
        <v>38</v>
      </c>
      <c r="F534" s="184">
        <f t="shared" si="151"/>
        <v>0</v>
      </c>
    </row>
    <row r="535" spans="1:8" ht="30.75" hidden="1" customHeight="1" outlineLevel="4">
      <c r="A535" s="164" t="s">
        <v>74</v>
      </c>
      <c r="B535" s="163" t="s">
        <v>540</v>
      </c>
      <c r="C535" s="163" t="s">
        <v>111</v>
      </c>
      <c r="D535" s="163" t="s">
        <v>601</v>
      </c>
      <c r="E535" s="163" t="s">
        <v>75</v>
      </c>
      <c r="F535" s="184">
        <v>0</v>
      </c>
    </row>
    <row r="536" spans="1:8" ht="54" outlineLevel="5">
      <c r="A536" s="164" t="s">
        <v>444</v>
      </c>
      <c r="B536" s="163" t="s">
        <v>540</v>
      </c>
      <c r="C536" s="163" t="s">
        <v>111</v>
      </c>
      <c r="D536" s="163" t="s">
        <v>445</v>
      </c>
      <c r="E536" s="163" t="s">
        <v>6</v>
      </c>
      <c r="F536" s="218">
        <f t="shared" ref="F536:F537" si="152">F537</f>
        <v>282103.53000000003</v>
      </c>
    </row>
    <row r="537" spans="1:8" ht="36" outlineLevel="6">
      <c r="A537" s="164" t="s">
        <v>37</v>
      </c>
      <c r="B537" s="163" t="s">
        <v>540</v>
      </c>
      <c r="C537" s="163" t="s">
        <v>111</v>
      </c>
      <c r="D537" s="163" t="s">
        <v>445</v>
      </c>
      <c r="E537" s="163" t="s">
        <v>38</v>
      </c>
      <c r="F537" s="218">
        <f t="shared" si="152"/>
        <v>282103.53000000003</v>
      </c>
    </row>
    <row r="538" spans="1:8" ht="20.25" customHeight="1" outlineLevel="7">
      <c r="A538" s="164" t="s">
        <v>74</v>
      </c>
      <c r="B538" s="163" t="s">
        <v>540</v>
      </c>
      <c r="C538" s="163" t="s">
        <v>111</v>
      </c>
      <c r="D538" s="163" t="s">
        <v>445</v>
      </c>
      <c r="E538" s="163" t="s">
        <v>75</v>
      </c>
      <c r="F538" s="184">
        <v>282103.53000000003</v>
      </c>
    </row>
    <row r="539" spans="1:8" ht="63.75" hidden="1" customHeight="1" outlineLevel="5">
      <c r="A539" s="201" t="s">
        <v>602</v>
      </c>
      <c r="B539" s="163" t="s">
        <v>540</v>
      </c>
      <c r="C539" s="163" t="s">
        <v>111</v>
      </c>
      <c r="D539" s="163" t="s">
        <v>603</v>
      </c>
      <c r="E539" s="163" t="s">
        <v>6</v>
      </c>
      <c r="F539" s="184">
        <f t="shared" ref="F539:F541" si="153">F540</f>
        <v>0</v>
      </c>
    </row>
    <row r="540" spans="1:8" ht="90" hidden="1" outlineLevel="5">
      <c r="A540" s="200" t="s">
        <v>567</v>
      </c>
      <c r="B540" s="163" t="s">
        <v>540</v>
      </c>
      <c r="C540" s="163" t="s">
        <v>111</v>
      </c>
      <c r="D540" s="163" t="s">
        <v>686</v>
      </c>
      <c r="E540" s="163" t="s">
        <v>6</v>
      </c>
      <c r="F540" s="184">
        <f t="shared" si="153"/>
        <v>0</v>
      </c>
    </row>
    <row r="541" spans="1:8" ht="36" hidden="1" outlineLevel="5">
      <c r="A541" s="164" t="s">
        <v>264</v>
      </c>
      <c r="B541" s="163" t="s">
        <v>540</v>
      </c>
      <c r="C541" s="163" t="s">
        <v>111</v>
      </c>
      <c r="D541" s="163" t="s">
        <v>686</v>
      </c>
      <c r="E541" s="163" t="s">
        <v>265</v>
      </c>
      <c r="F541" s="184">
        <f t="shared" si="153"/>
        <v>0</v>
      </c>
    </row>
    <row r="542" spans="1:8" ht="24.75" hidden="1" customHeight="1" outlineLevel="5">
      <c r="A542" s="164" t="s">
        <v>266</v>
      </c>
      <c r="B542" s="163" t="s">
        <v>540</v>
      </c>
      <c r="C542" s="163" t="s">
        <v>111</v>
      </c>
      <c r="D542" s="163" t="s">
        <v>686</v>
      </c>
      <c r="E542" s="163" t="s">
        <v>267</v>
      </c>
      <c r="F542" s="184">
        <v>0</v>
      </c>
    </row>
    <row r="543" spans="1:8" outlineLevel="5">
      <c r="A543" s="164" t="s">
        <v>71</v>
      </c>
      <c r="B543" s="163" t="s">
        <v>540</v>
      </c>
      <c r="C543" s="163" t="s">
        <v>72</v>
      </c>
      <c r="D543" s="163" t="s">
        <v>126</v>
      </c>
      <c r="E543" s="163" t="s">
        <v>6</v>
      </c>
      <c r="F543" s="167">
        <f t="shared" ref="F543:F544" si="154">F544</f>
        <v>408412468.24000001</v>
      </c>
    </row>
    <row r="544" spans="1:8" ht="36" outlineLevel="5">
      <c r="A544" s="196" t="s">
        <v>853</v>
      </c>
      <c r="B544" s="197" t="s">
        <v>540</v>
      </c>
      <c r="C544" s="197" t="s">
        <v>72</v>
      </c>
      <c r="D544" s="197" t="s">
        <v>138</v>
      </c>
      <c r="E544" s="197" t="s">
        <v>6</v>
      </c>
      <c r="F544" s="171">
        <f t="shared" si="154"/>
        <v>408412468.24000001</v>
      </c>
    </row>
    <row r="545" spans="1:6" ht="60.75" customHeight="1" outlineLevel="5">
      <c r="A545" s="164" t="s">
        <v>859</v>
      </c>
      <c r="B545" s="163" t="s">
        <v>540</v>
      </c>
      <c r="C545" s="163" t="s">
        <v>72</v>
      </c>
      <c r="D545" s="163" t="s">
        <v>146</v>
      </c>
      <c r="E545" s="163" t="s">
        <v>6</v>
      </c>
      <c r="F545" s="167">
        <f>F546+F559+F575+F579</f>
        <v>408412468.24000001</v>
      </c>
    </row>
    <row r="546" spans="1:6" ht="36" outlineLevel="5">
      <c r="A546" s="200" t="s">
        <v>205</v>
      </c>
      <c r="B546" s="163" t="s">
        <v>540</v>
      </c>
      <c r="C546" s="163" t="s">
        <v>72</v>
      </c>
      <c r="D546" s="163" t="s">
        <v>222</v>
      </c>
      <c r="E546" s="163" t="s">
        <v>6</v>
      </c>
      <c r="F546" s="167">
        <f>F547+F550+F553+F556</f>
        <v>363408028.19999999</v>
      </c>
    </row>
    <row r="547" spans="1:6" ht="54" outlineLevel="5">
      <c r="A547" s="33" t="s">
        <v>604</v>
      </c>
      <c r="B547" s="163" t="s">
        <v>540</v>
      </c>
      <c r="C547" s="163" t="s">
        <v>72</v>
      </c>
      <c r="D547" s="163" t="s">
        <v>605</v>
      </c>
      <c r="E547" s="163" t="s">
        <v>6</v>
      </c>
      <c r="F547" s="167">
        <f t="shared" ref="F547:F548" si="155">F548</f>
        <v>20475000</v>
      </c>
    </row>
    <row r="548" spans="1:6" ht="36" outlineLevel="5">
      <c r="A548" s="164" t="s">
        <v>37</v>
      </c>
      <c r="B548" s="163" t="s">
        <v>540</v>
      </c>
      <c r="C548" s="163" t="s">
        <v>72</v>
      </c>
      <c r="D548" s="163" t="s">
        <v>605</v>
      </c>
      <c r="E548" s="163" t="s">
        <v>38</v>
      </c>
      <c r="F548" s="167">
        <f t="shared" si="155"/>
        <v>20475000</v>
      </c>
    </row>
    <row r="549" spans="1:6" outlineLevel="5">
      <c r="A549" s="164" t="s">
        <v>74</v>
      </c>
      <c r="B549" s="163" t="s">
        <v>540</v>
      </c>
      <c r="C549" s="163" t="s">
        <v>72</v>
      </c>
      <c r="D549" s="163" t="s">
        <v>605</v>
      </c>
      <c r="E549" s="163" t="s">
        <v>75</v>
      </c>
      <c r="F549" s="167">
        <v>20475000</v>
      </c>
    </row>
    <row r="550" spans="1:6" ht="36" outlineLevel="5">
      <c r="A550" s="164" t="s">
        <v>114</v>
      </c>
      <c r="B550" s="163" t="s">
        <v>540</v>
      </c>
      <c r="C550" s="163" t="s">
        <v>72</v>
      </c>
      <c r="D550" s="163" t="s">
        <v>147</v>
      </c>
      <c r="E550" s="163" t="s">
        <v>6</v>
      </c>
      <c r="F550" s="167">
        <f t="shared" ref="F550:F551" si="156">F551</f>
        <v>93113413</v>
      </c>
    </row>
    <row r="551" spans="1:6" ht="36" outlineLevel="5">
      <c r="A551" s="164" t="s">
        <v>37</v>
      </c>
      <c r="B551" s="163" t="s">
        <v>540</v>
      </c>
      <c r="C551" s="163" t="s">
        <v>72</v>
      </c>
      <c r="D551" s="163" t="s">
        <v>147</v>
      </c>
      <c r="E551" s="163" t="s">
        <v>38</v>
      </c>
      <c r="F551" s="167">
        <f t="shared" si="156"/>
        <v>93113413</v>
      </c>
    </row>
    <row r="552" spans="1:6" outlineLevel="5">
      <c r="A552" s="164" t="s">
        <v>74</v>
      </c>
      <c r="B552" s="163" t="s">
        <v>540</v>
      </c>
      <c r="C552" s="163" t="s">
        <v>72</v>
      </c>
      <c r="D552" s="163" t="s">
        <v>147</v>
      </c>
      <c r="E552" s="163" t="s">
        <v>75</v>
      </c>
      <c r="F552" s="111">
        <f>потребность!I543-4490000</f>
        <v>93113413</v>
      </c>
    </row>
    <row r="553" spans="1:6" ht="108" outlineLevel="5">
      <c r="A553" s="200" t="s">
        <v>400</v>
      </c>
      <c r="B553" s="163" t="s">
        <v>540</v>
      </c>
      <c r="C553" s="163" t="s">
        <v>72</v>
      </c>
      <c r="D553" s="163" t="s">
        <v>148</v>
      </c>
      <c r="E553" s="163" t="s">
        <v>6</v>
      </c>
      <c r="F553" s="167">
        <f t="shared" ref="F553:F554" si="157">F554</f>
        <v>238943015.19999999</v>
      </c>
    </row>
    <row r="554" spans="1:6" ht="36" outlineLevel="5">
      <c r="A554" s="164" t="s">
        <v>37</v>
      </c>
      <c r="B554" s="163" t="s">
        <v>540</v>
      </c>
      <c r="C554" s="163" t="s">
        <v>72</v>
      </c>
      <c r="D554" s="163" t="s">
        <v>148</v>
      </c>
      <c r="E554" s="163" t="s">
        <v>38</v>
      </c>
      <c r="F554" s="167">
        <f t="shared" si="157"/>
        <v>238943015.19999999</v>
      </c>
    </row>
    <row r="555" spans="1:6" outlineLevel="5">
      <c r="A555" s="164" t="s">
        <v>74</v>
      </c>
      <c r="B555" s="163" t="s">
        <v>540</v>
      </c>
      <c r="C555" s="163" t="s">
        <v>72</v>
      </c>
      <c r="D555" s="163" t="s">
        <v>148</v>
      </c>
      <c r="E555" s="163" t="s">
        <v>75</v>
      </c>
      <c r="F555" s="184">
        <v>238943015.19999999</v>
      </c>
    </row>
    <row r="556" spans="1:6" ht="108" outlineLevel="5">
      <c r="A556" s="33" t="s">
        <v>471</v>
      </c>
      <c r="B556" s="163" t="s">
        <v>540</v>
      </c>
      <c r="C556" s="163" t="s">
        <v>72</v>
      </c>
      <c r="D556" s="163" t="s">
        <v>472</v>
      </c>
      <c r="E556" s="163" t="s">
        <v>6</v>
      </c>
      <c r="F556" s="184">
        <f t="shared" ref="F556:F557" si="158">F557</f>
        <v>10876600</v>
      </c>
    </row>
    <row r="557" spans="1:6" ht="36" outlineLevel="5">
      <c r="A557" s="164" t="s">
        <v>37</v>
      </c>
      <c r="B557" s="163" t="s">
        <v>540</v>
      </c>
      <c r="C557" s="163" t="s">
        <v>72</v>
      </c>
      <c r="D557" s="163" t="s">
        <v>472</v>
      </c>
      <c r="E557" s="163" t="s">
        <v>38</v>
      </c>
      <c r="F557" s="184">
        <f t="shared" si="158"/>
        <v>10876600</v>
      </c>
    </row>
    <row r="558" spans="1:6" outlineLevel="5">
      <c r="A558" s="164" t="s">
        <v>74</v>
      </c>
      <c r="B558" s="163" t="s">
        <v>540</v>
      </c>
      <c r="C558" s="163" t="s">
        <v>72</v>
      </c>
      <c r="D558" s="163" t="s">
        <v>472</v>
      </c>
      <c r="E558" s="163" t="s">
        <v>75</v>
      </c>
      <c r="F558" s="184">
        <v>10876600</v>
      </c>
    </row>
    <row r="559" spans="1:6" ht="36" outlineLevel="5">
      <c r="A559" s="200" t="s">
        <v>206</v>
      </c>
      <c r="B559" s="163" t="s">
        <v>540</v>
      </c>
      <c r="C559" s="163" t="s">
        <v>72</v>
      </c>
      <c r="D559" s="163" t="s">
        <v>220</v>
      </c>
      <c r="E559" s="163" t="s">
        <v>6</v>
      </c>
      <c r="F559" s="184">
        <f>F572+F560+F563+F569+F566</f>
        <v>38886990.039999999</v>
      </c>
    </row>
    <row r="560" spans="1:6" outlineLevel="5">
      <c r="A560" s="164" t="s">
        <v>268</v>
      </c>
      <c r="B560" s="163" t="s">
        <v>540</v>
      </c>
      <c r="C560" s="163" t="s">
        <v>72</v>
      </c>
      <c r="D560" s="163" t="s">
        <v>269</v>
      </c>
      <c r="E560" s="163" t="s">
        <v>6</v>
      </c>
      <c r="F560" s="218">
        <f t="shared" ref="F560:F561" si="159">F561</f>
        <v>212800</v>
      </c>
    </row>
    <row r="561" spans="1:8" ht="36" outlineLevel="5">
      <c r="A561" s="164" t="s">
        <v>37</v>
      </c>
      <c r="B561" s="163" t="s">
        <v>540</v>
      </c>
      <c r="C561" s="163" t="s">
        <v>72</v>
      </c>
      <c r="D561" s="163" t="s">
        <v>269</v>
      </c>
      <c r="E561" s="163" t="s">
        <v>38</v>
      </c>
      <c r="F561" s="218">
        <f t="shared" si="159"/>
        <v>212800</v>
      </c>
    </row>
    <row r="562" spans="1:8" outlineLevel="5">
      <c r="A562" s="164" t="s">
        <v>74</v>
      </c>
      <c r="B562" s="163" t="s">
        <v>540</v>
      </c>
      <c r="C562" s="163" t="s">
        <v>72</v>
      </c>
      <c r="D562" s="163" t="s">
        <v>269</v>
      </c>
      <c r="E562" s="163" t="s">
        <v>75</v>
      </c>
      <c r="F562" s="184">
        <v>212800</v>
      </c>
    </row>
    <row r="563" spans="1:8" outlineLevel="5">
      <c r="A563" s="221" t="s">
        <v>311</v>
      </c>
      <c r="B563" s="163" t="s">
        <v>540</v>
      </c>
      <c r="C563" s="163" t="s">
        <v>72</v>
      </c>
      <c r="D563" s="163" t="s">
        <v>312</v>
      </c>
      <c r="E563" s="163" t="s">
        <v>6</v>
      </c>
      <c r="F563" s="218">
        <f t="shared" ref="F563:F564" si="160">F564</f>
        <v>350000</v>
      </c>
    </row>
    <row r="564" spans="1:8" ht="36" outlineLevel="5">
      <c r="A564" s="164" t="s">
        <v>37</v>
      </c>
      <c r="B564" s="163" t="s">
        <v>540</v>
      </c>
      <c r="C564" s="163" t="s">
        <v>72</v>
      </c>
      <c r="D564" s="163" t="s">
        <v>312</v>
      </c>
      <c r="E564" s="163" t="s">
        <v>38</v>
      </c>
      <c r="F564" s="218">
        <f t="shared" si="160"/>
        <v>350000</v>
      </c>
    </row>
    <row r="565" spans="1:8" outlineLevel="5">
      <c r="A565" s="164" t="s">
        <v>74</v>
      </c>
      <c r="B565" s="163" t="s">
        <v>540</v>
      </c>
      <c r="C565" s="163" t="s">
        <v>72</v>
      </c>
      <c r="D565" s="163" t="s">
        <v>312</v>
      </c>
      <c r="E565" s="163" t="s">
        <v>75</v>
      </c>
      <c r="F565" s="184">
        <v>350000</v>
      </c>
    </row>
    <row r="566" spans="1:8" ht="39.75" customHeight="1" outlineLevel="5">
      <c r="A566" s="200" t="s">
        <v>459</v>
      </c>
      <c r="B566" s="163" t="s">
        <v>540</v>
      </c>
      <c r="C566" s="163" t="s">
        <v>72</v>
      </c>
      <c r="D566" s="163" t="s">
        <v>734</v>
      </c>
      <c r="E566" s="163" t="s">
        <v>6</v>
      </c>
      <c r="F566" s="184">
        <f t="shared" ref="F566:F567" si="161">F567</f>
        <v>590000</v>
      </c>
    </row>
    <row r="567" spans="1:8" ht="36" outlineLevel="5">
      <c r="A567" s="164" t="s">
        <v>37</v>
      </c>
      <c r="B567" s="163" t="s">
        <v>540</v>
      </c>
      <c r="C567" s="163" t="s">
        <v>72</v>
      </c>
      <c r="D567" s="163" t="s">
        <v>734</v>
      </c>
      <c r="E567" s="163" t="s">
        <v>38</v>
      </c>
      <c r="F567" s="184">
        <f t="shared" si="161"/>
        <v>590000</v>
      </c>
    </row>
    <row r="568" spans="1:8" outlineLevel="5">
      <c r="A568" s="164" t="s">
        <v>74</v>
      </c>
      <c r="B568" s="163" t="s">
        <v>540</v>
      </c>
      <c r="C568" s="163" t="s">
        <v>72</v>
      </c>
      <c r="D568" s="163" t="s">
        <v>734</v>
      </c>
      <c r="E568" s="163" t="s">
        <v>75</v>
      </c>
      <c r="F568" s="184">
        <f>потребность!I559+5490000-5000000</f>
        <v>590000</v>
      </c>
    </row>
    <row r="569" spans="1:8" ht="54" outlineLevel="5">
      <c r="A569" s="33" t="s">
        <v>606</v>
      </c>
      <c r="B569" s="163" t="s">
        <v>540</v>
      </c>
      <c r="C569" s="163" t="s">
        <v>72</v>
      </c>
      <c r="D569" s="163" t="s">
        <v>607</v>
      </c>
      <c r="E569" s="163" t="s">
        <v>6</v>
      </c>
      <c r="F569" s="184">
        <f>F570</f>
        <v>36003230.039999999</v>
      </c>
    </row>
    <row r="570" spans="1:8" s="266" customFormat="1" ht="36" outlineLevel="5">
      <c r="A570" s="164" t="s">
        <v>37</v>
      </c>
      <c r="B570" s="163" t="s">
        <v>540</v>
      </c>
      <c r="C570" s="163" t="s">
        <v>72</v>
      </c>
      <c r="D570" s="163" t="s">
        <v>607</v>
      </c>
      <c r="E570" s="163" t="s">
        <v>38</v>
      </c>
      <c r="F570" s="184">
        <f t="shared" ref="F570" si="162">F571</f>
        <v>36003230.039999999</v>
      </c>
      <c r="G570" s="265"/>
      <c r="H570" s="265"/>
    </row>
    <row r="571" spans="1:8" ht="23.25" customHeight="1" outlineLevel="4">
      <c r="A571" s="164" t="s">
        <v>74</v>
      </c>
      <c r="B571" s="163" t="s">
        <v>540</v>
      </c>
      <c r="C571" s="163" t="s">
        <v>72</v>
      </c>
      <c r="D571" s="163" t="s">
        <v>607</v>
      </c>
      <c r="E571" s="163" t="s">
        <v>75</v>
      </c>
      <c r="F571" s="184">
        <v>36003230.039999999</v>
      </c>
    </row>
    <row r="572" spans="1:8" ht="36" outlineLevel="4">
      <c r="A572" s="164" t="s">
        <v>446</v>
      </c>
      <c r="B572" s="163" t="s">
        <v>540</v>
      </c>
      <c r="C572" s="163" t="s">
        <v>72</v>
      </c>
      <c r="D572" s="163" t="s">
        <v>447</v>
      </c>
      <c r="E572" s="163" t="s">
        <v>6</v>
      </c>
      <c r="F572" s="218">
        <f t="shared" ref="F572:F573" si="163">F573</f>
        <v>1730960</v>
      </c>
    </row>
    <row r="573" spans="1:8" ht="36" outlineLevel="5">
      <c r="A573" s="164" t="s">
        <v>37</v>
      </c>
      <c r="B573" s="163" t="s">
        <v>540</v>
      </c>
      <c r="C573" s="163" t="s">
        <v>72</v>
      </c>
      <c r="D573" s="163" t="s">
        <v>447</v>
      </c>
      <c r="E573" s="163" t="s">
        <v>38</v>
      </c>
      <c r="F573" s="218">
        <f t="shared" si="163"/>
        <v>1730960</v>
      </c>
    </row>
    <row r="574" spans="1:8" outlineLevel="6">
      <c r="A574" s="164" t="s">
        <v>74</v>
      </c>
      <c r="B574" s="163" t="s">
        <v>540</v>
      </c>
      <c r="C574" s="163" t="s">
        <v>72</v>
      </c>
      <c r="D574" s="163" t="s">
        <v>447</v>
      </c>
      <c r="E574" s="163" t="s">
        <v>75</v>
      </c>
      <c r="F574" s="184">
        <v>1730960</v>
      </c>
    </row>
    <row r="575" spans="1:8" ht="36" outlineLevel="7">
      <c r="A575" s="200" t="s">
        <v>275</v>
      </c>
      <c r="B575" s="163" t="s">
        <v>540</v>
      </c>
      <c r="C575" s="163" t="s">
        <v>72</v>
      </c>
      <c r="D575" s="163" t="s">
        <v>223</v>
      </c>
      <c r="E575" s="163" t="s">
        <v>6</v>
      </c>
      <c r="F575" s="184">
        <f t="shared" ref="F575:F577" si="164">F576</f>
        <v>6117450</v>
      </c>
    </row>
    <row r="576" spans="1:8" ht="90" outlineLevel="7">
      <c r="A576" s="222" t="s">
        <v>669</v>
      </c>
      <c r="B576" s="163" t="s">
        <v>540</v>
      </c>
      <c r="C576" s="163" t="s">
        <v>72</v>
      </c>
      <c r="D576" s="163" t="s">
        <v>670</v>
      </c>
      <c r="E576" s="163" t="s">
        <v>6</v>
      </c>
      <c r="F576" s="184">
        <f t="shared" si="164"/>
        <v>6117450</v>
      </c>
    </row>
    <row r="577" spans="1:6" ht="36" outlineLevel="7">
      <c r="A577" s="164" t="s">
        <v>37</v>
      </c>
      <c r="B577" s="163" t="s">
        <v>540</v>
      </c>
      <c r="C577" s="163" t="s">
        <v>72</v>
      </c>
      <c r="D577" s="163" t="s">
        <v>670</v>
      </c>
      <c r="E577" s="163" t="s">
        <v>38</v>
      </c>
      <c r="F577" s="184">
        <f t="shared" si="164"/>
        <v>6117450</v>
      </c>
    </row>
    <row r="578" spans="1:6" ht="22.65" customHeight="1" outlineLevel="7">
      <c r="A578" s="164" t="s">
        <v>74</v>
      </c>
      <c r="B578" s="163" t="s">
        <v>540</v>
      </c>
      <c r="C578" s="163" t="s">
        <v>72</v>
      </c>
      <c r="D578" s="163" t="s">
        <v>670</v>
      </c>
      <c r="E578" s="163" t="s">
        <v>75</v>
      </c>
      <c r="F578" s="184">
        <v>6117450</v>
      </c>
    </row>
    <row r="579" spans="1:6" hidden="1" outlineLevel="7">
      <c r="A579" s="33" t="s">
        <v>469</v>
      </c>
      <c r="B579" s="163" t="s">
        <v>540</v>
      </c>
      <c r="C579" s="163" t="s">
        <v>72</v>
      </c>
      <c r="D579" s="163" t="s">
        <v>313</v>
      </c>
      <c r="E579" s="163" t="s">
        <v>6</v>
      </c>
      <c r="F579" s="184">
        <f t="shared" ref="F579:F581" si="165">F580</f>
        <v>0</v>
      </c>
    </row>
    <row r="580" spans="1:6" ht="36" hidden="1" outlineLevel="7">
      <c r="A580" s="164" t="s">
        <v>470</v>
      </c>
      <c r="B580" s="163" t="s">
        <v>540</v>
      </c>
      <c r="C580" s="163" t="s">
        <v>72</v>
      </c>
      <c r="D580" s="163" t="s">
        <v>665</v>
      </c>
      <c r="E580" s="163" t="s">
        <v>6</v>
      </c>
      <c r="F580" s="184">
        <f t="shared" si="165"/>
        <v>0</v>
      </c>
    </row>
    <row r="581" spans="1:6" ht="36" hidden="1" outlineLevel="7">
      <c r="A581" s="164" t="s">
        <v>37</v>
      </c>
      <c r="B581" s="163" t="s">
        <v>540</v>
      </c>
      <c r="C581" s="163" t="s">
        <v>72</v>
      </c>
      <c r="D581" s="163" t="s">
        <v>665</v>
      </c>
      <c r="E581" s="163" t="s">
        <v>38</v>
      </c>
      <c r="F581" s="184">
        <f t="shared" si="165"/>
        <v>0</v>
      </c>
    </row>
    <row r="582" spans="1:6" hidden="1" outlineLevel="7">
      <c r="A582" s="164" t="s">
        <v>74</v>
      </c>
      <c r="B582" s="163" t="s">
        <v>540</v>
      </c>
      <c r="C582" s="163" t="s">
        <v>72</v>
      </c>
      <c r="D582" s="163" t="s">
        <v>665</v>
      </c>
      <c r="E582" s="163" t="s">
        <v>75</v>
      </c>
      <c r="F582" s="184">
        <v>0</v>
      </c>
    </row>
    <row r="583" spans="1:6" outlineLevel="5" collapsed="1">
      <c r="A583" s="164" t="s">
        <v>257</v>
      </c>
      <c r="B583" s="163" t="s">
        <v>540</v>
      </c>
      <c r="C583" s="163" t="s">
        <v>256</v>
      </c>
      <c r="D583" s="163" t="s">
        <v>126</v>
      </c>
      <c r="E583" s="163" t="s">
        <v>6</v>
      </c>
      <c r="F583" s="218">
        <f>F584</f>
        <v>25310464</v>
      </c>
    </row>
    <row r="584" spans="1:6" ht="36" outlineLevel="6">
      <c r="A584" s="196" t="s">
        <v>853</v>
      </c>
      <c r="B584" s="197" t="s">
        <v>540</v>
      </c>
      <c r="C584" s="197" t="s">
        <v>256</v>
      </c>
      <c r="D584" s="197" t="s">
        <v>138</v>
      </c>
      <c r="E584" s="197" t="s">
        <v>6</v>
      </c>
      <c r="F584" s="220">
        <f t="shared" ref="F584" si="166">F585</f>
        <v>25310464</v>
      </c>
    </row>
    <row r="585" spans="1:6" ht="49.65" customHeight="1" outlineLevel="7">
      <c r="A585" s="164" t="s">
        <v>860</v>
      </c>
      <c r="B585" s="163" t="s">
        <v>540</v>
      </c>
      <c r="C585" s="163" t="s">
        <v>256</v>
      </c>
      <c r="D585" s="163" t="s">
        <v>149</v>
      </c>
      <c r="E585" s="163" t="s">
        <v>6</v>
      </c>
      <c r="F585" s="167">
        <f>F586+F590+F600</f>
        <v>25310464</v>
      </c>
    </row>
    <row r="586" spans="1:6" ht="23.25" customHeight="1" outlineLevel="7">
      <c r="A586" s="200" t="s">
        <v>207</v>
      </c>
      <c r="B586" s="163" t="s">
        <v>540</v>
      </c>
      <c r="C586" s="163" t="s">
        <v>256</v>
      </c>
      <c r="D586" s="163" t="s">
        <v>224</v>
      </c>
      <c r="E586" s="163" t="s">
        <v>6</v>
      </c>
      <c r="F586" s="167">
        <f>F587</f>
        <v>23996964</v>
      </c>
    </row>
    <row r="587" spans="1:6" ht="22.65" customHeight="1" outlineLevel="7">
      <c r="A587" s="164" t="s">
        <v>115</v>
      </c>
      <c r="B587" s="163" t="s">
        <v>540</v>
      </c>
      <c r="C587" s="163" t="s">
        <v>256</v>
      </c>
      <c r="D587" s="163" t="s">
        <v>151</v>
      </c>
      <c r="E587" s="163" t="s">
        <v>6</v>
      </c>
      <c r="F587" s="167">
        <f t="shared" ref="F587:F588" si="167">F588</f>
        <v>23996964</v>
      </c>
    </row>
    <row r="588" spans="1:6" ht="24.75" customHeight="1" outlineLevel="7">
      <c r="A588" s="164" t="s">
        <v>37</v>
      </c>
      <c r="B588" s="163" t="s">
        <v>540</v>
      </c>
      <c r="C588" s="163" t="s">
        <v>256</v>
      </c>
      <c r="D588" s="163" t="s">
        <v>151</v>
      </c>
      <c r="E588" s="163" t="s">
        <v>38</v>
      </c>
      <c r="F588" s="167">
        <f t="shared" si="167"/>
        <v>23996964</v>
      </c>
    </row>
    <row r="589" spans="1:6" ht="27" customHeight="1" outlineLevel="7">
      <c r="A589" s="164" t="s">
        <v>74</v>
      </c>
      <c r="B589" s="163" t="s">
        <v>540</v>
      </c>
      <c r="C589" s="163" t="s">
        <v>256</v>
      </c>
      <c r="D589" s="163" t="s">
        <v>151</v>
      </c>
      <c r="E589" s="163" t="s">
        <v>75</v>
      </c>
      <c r="F589" s="184">
        <f>потребность!I580-1000000</f>
        <v>23996964</v>
      </c>
    </row>
    <row r="590" spans="1:6" ht="36" outlineLevel="7">
      <c r="A590" s="200" t="s">
        <v>402</v>
      </c>
      <c r="B590" s="163" t="s">
        <v>540</v>
      </c>
      <c r="C590" s="163" t="s">
        <v>256</v>
      </c>
      <c r="D590" s="163" t="s">
        <v>225</v>
      </c>
      <c r="E590" s="163" t="s">
        <v>6</v>
      </c>
      <c r="F590" s="184">
        <f>F591+F597</f>
        <v>110500</v>
      </c>
    </row>
    <row r="591" spans="1:6" outlineLevel="7">
      <c r="A591" s="164" t="s">
        <v>268</v>
      </c>
      <c r="B591" s="163" t="s">
        <v>540</v>
      </c>
      <c r="C591" s="163" t="s">
        <v>256</v>
      </c>
      <c r="D591" s="163" t="s">
        <v>288</v>
      </c>
      <c r="E591" s="163" t="s">
        <v>6</v>
      </c>
      <c r="F591" s="218">
        <f t="shared" ref="F591:F592" si="168">F592</f>
        <v>25000</v>
      </c>
    </row>
    <row r="592" spans="1:6" ht="36" outlineLevel="7">
      <c r="A592" s="164" t="s">
        <v>37</v>
      </c>
      <c r="B592" s="163" t="s">
        <v>540</v>
      </c>
      <c r="C592" s="163" t="s">
        <v>256</v>
      </c>
      <c r="D592" s="163" t="s">
        <v>288</v>
      </c>
      <c r="E592" s="163" t="s">
        <v>38</v>
      </c>
      <c r="F592" s="218">
        <f t="shared" si="168"/>
        <v>25000</v>
      </c>
    </row>
    <row r="593" spans="1:8" outlineLevel="2">
      <c r="A593" s="164" t="s">
        <v>74</v>
      </c>
      <c r="B593" s="163" t="s">
        <v>540</v>
      </c>
      <c r="C593" s="163" t="s">
        <v>256</v>
      </c>
      <c r="D593" s="163" t="s">
        <v>288</v>
      </c>
      <c r="E593" s="163" t="s">
        <v>75</v>
      </c>
      <c r="F593" s="184">
        <v>25000</v>
      </c>
    </row>
    <row r="594" spans="1:8" s="266" customFormat="1" hidden="1" outlineLevel="3">
      <c r="A594" s="221" t="s">
        <v>311</v>
      </c>
      <c r="B594" s="163" t="s">
        <v>540</v>
      </c>
      <c r="C594" s="163" t="s">
        <v>256</v>
      </c>
      <c r="D594" s="163" t="s">
        <v>749</v>
      </c>
      <c r="E594" s="163" t="s">
        <v>6</v>
      </c>
      <c r="F594" s="184">
        <f t="shared" ref="F594:F595" si="169">F595</f>
        <v>0</v>
      </c>
      <c r="G594" s="265"/>
      <c r="H594" s="265"/>
    </row>
    <row r="595" spans="1:8" ht="36" hidden="1" outlineLevel="3">
      <c r="A595" s="164" t="s">
        <v>37</v>
      </c>
      <c r="B595" s="163" t="s">
        <v>540</v>
      </c>
      <c r="C595" s="163" t="s">
        <v>256</v>
      </c>
      <c r="D595" s="163" t="s">
        <v>749</v>
      </c>
      <c r="E595" s="163" t="s">
        <v>38</v>
      </c>
      <c r="F595" s="184">
        <f t="shared" si="169"/>
        <v>0</v>
      </c>
    </row>
    <row r="596" spans="1:8" ht="19.5" hidden="1" customHeight="1" outlineLevel="3">
      <c r="A596" s="164" t="s">
        <v>74</v>
      </c>
      <c r="B596" s="163" t="s">
        <v>540</v>
      </c>
      <c r="C596" s="163" t="s">
        <v>256</v>
      </c>
      <c r="D596" s="163" t="s">
        <v>749</v>
      </c>
      <c r="E596" s="163" t="s">
        <v>75</v>
      </c>
      <c r="F596" s="184"/>
    </row>
    <row r="597" spans="1:8" ht="21.15" customHeight="1" outlineLevel="3">
      <c r="A597" s="164" t="s">
        <v>112</v>
      </c>
      <c r="B597" s="163" t="s">
        <v>540</v>
      </c>
      <c r="C597" s="163" t="s">
        <v>256</v>
      </c>
      <c r="D597" s="163" t="s">
        <v>150</v>
      </c>
      <c r="E597" s="163" t="s">
        <v>6</v>
      </c>
      <c r="F597" s="167">
        <f t="shared" ref="F597:F598" si="170">F598</f>
        <v>85500</v>
      </c>
    </row>
    <row r="598" spans="1:8" ht="36" outlineLevel="3">
      <c r="A598" s="164" t="s">
        <v>37</v>
      </c>
      <c r="B598" s="163" t="s">
        <v>540</v>
      </c>
      <c r="C598" s="163" t="s">
        <v>256</v>
      </c>
      <c r="D598" s="163" t="s">
        <v>150</v>
      </c>
      <c r="E598" s="163" t="s">
        <v>38</v>
      </c>
      <c r="F598" s="167">
        <f t="shared" si="170"/>
        <v>85500</v>
      </c>
    </row>
    <row r="599" spans="1:8" ht="21.15" customHeight="1" outlineLevel="3">
      <c r="A599" s="164" t="s">
        <v>74</v>
      </c>
      <c r="B599" s="163" t="s">
        <v>540</v>
      </c>
      <c r="C599" s="163" t="s">
        <v>256</v>
      </c>
      <c r="D599" s="163" t="s">
        <v>150</v>
      </c>
      <c r="E599" s="163" t="s">
        <v>75</v>
      </c>
      <c r="F599" s="184">
        <v>85500</v>
      </c>
    </row>
    <row r="600" spans="1:8" ht="36" outlineLevel="3">
      <c r="A600" s="164" t="s">
        <v>768</v>
      </c>
      <c r="B600" s="163" t="s">
        <v>540</v>
      </c>
      <c r="C600" s="163" t="s">
        <v>256</v>
      </c>
      <c r="D600" s="163" t="s">
        <v>769</v>
      </c>
      <c r="E600" s="163" t="s">
        <v>6</v>
      </c>
      <c r="F600" s="184">
        <f t="shared" ref="F600:F601" si="171">F601</f>
        <v>1203000</v>
      </c>
    </row>
    <row r="601" spans="1:8" ht="36" outlineLevel="3">
      <c r="A601" s="164" t="s">
        <v>37</v>
      </c>
      <c r="B601" s="163" t="s">
        <v>540</v>
      </c>
      <c r="C601" s="163" t="s">
        <v>256</v>
      </c>
      <c r="D601" s="163" t="s">
        <v>770</v>
      </c>
      <c r="E601" s="163" t="s">
        <v>38</v>
      </c>
      <c r="F601" s="184">
        <f t="shared" si="171"/>
        <v>1203000</v>
      </c>
    </row>
    <row r="602" spans="1:8" ht="21.75" customHeight="1" outlineLevel="3">
      <c r="A602" s="164" t="s">
        <v>74</v>
      </c>
      <c r="B602" s="163" t="s">
        <v>540</v>
      </c>
      <c r="C602" s="163" t="s">
        <v>256</v>
      </c>
      <c r="D602" s="163" t="s">
        <v>770</v>
      </c>
      <c r="E602" s="163" t="s">
        <v>75</v>
      </c>
      <c r="F602" s="184">
        <v>1203000</v>
      </c>
    </row>
    <row r="603" spans="1:8" ht="36" hidden="1" outlineLevel="3">
      <c r="A603" s="200" t="s">
        <v>459</v>
      </c>
      <c r="B603" s="163" t="s">
        <v>540</v>
      </c>
      <c r="C603" s="163" t="s">
        <v>256</v>
      </c>
      <c r="D603" s="163" t="s">
        <v>741</v>
      </c>
      <c r="E603" s="163" t="s">
        <v>6</v>
      </c>
      <c r="F603" s="184">
        <f t="shared" ref="F603:F604" si="172">F604</f>
        <v>0</v>
      </c>
    </row>
    <row r="604" spans="1:8" ht="36" hidden="1" outlineLevel="3">
      <c r="A604" s="164" t="s">
        <v>37</v>
      </c>
      <c r="B604" s="163" t="s">
        <v>540</v>
      </c>
      <c r="C604" s="163" t="s">
        <v>256</v>
      </c>
      <c r="D604" s="163" t="s">
        <v>741</v>
      </c>
      <c r="E604" s="163" t="s">
        <v>38</v>
      </c>
      <c r="F604" s="184">
        <f t="shared" si="172"/>
        <v>0</v>
      </c>
    </row>
    <row r="605" spans="1:8" hidden="1" outlineLevel="3">
      <c r="A605" s="164" t="s">
        <v>74</v>
      </c>
      <c r="B605" s="163" t="s">
        <v>540</v>
      </c>
      <c r="C605" s="163" t="s">
        <v>256</v>
      </c>
      <c r="D605" s="163" t="s">
        <v>741</v>
      </c>
      <c r="E605" s="163" t="s">
        <v>75</v>
      </c>
      <c r="F605" s="184">
        <v>0</v>
      </c>
    </row>
    <row r="606" spans="1:8" outlineLevel="3">
      <c r="A606" s="164" t="s">
        <v>76</v>
      </c>
      <c r="B606" s="163" t="s">
        <v>540</v>
      </c>
      <c r="C606" s="163" t="s">
        <v>77</v>
      </c>
      <c r="D606" s="163" t="s">
        <v>126</v>
      </c>
      <c r="E606" s="163" t="s">
        <v>6</v>
      </c>
      <c r="F606" s="167">
        <f>F607</f>
        <v>2042300</v>
      </c>
    </row>
    <row r="607" spans="1:8" ht="36" outlineLevel="3">
      <c r="A607" s="196" t="s">
        <v>853</v>
      </c>
      <c r="B607" s="197" t="s">
        <v>540</v>
      </c>
      <c r="C607" s="197" t="s">
        <v>77</v>
      </c>
      <c r="D607" s="197" t="s">
        <v>138</v>
      </c>
      <c r="E607" s="197" t="s">
        <v>6</v>
      </c>
      <c r="F607" s="171">
        <f>F608+F622</f>
        <v>2042300</v>
      </c>
    </row>
    <row r="608" spans="1:8" ht="36" outlineLevel="3">
      <c r="A608" s="164" t="s">
        <v>861</v>
      </c>
      <c r="B608" s="163" t="s">
        <v>540</v>
      </c>
      <c r="C608" s="163" t="s">
        <v>77</v>
      </c>
      <c r="D608" s="163" t="s">
        <v>146</v>
      </c>
      <c r="E608" s="163" t="s">
        <v>6</v>
      </c>
      <c r="F608" s="167">
        <f>F609+F613</f>
        <v>1917300</v>
      </c>
    </row>
    <row r="609" spans="1:8" ht="36" outlineLevel="7">
      <c r="A609" s="200" t="s">
        <v>206</v>
      </c>
      <c r="B609" s="163" t="s">
        <v>540</v>
      </c>
      <c r="C609" s="163" t="s">
        <v>77</v>
      </c>
      <c r="D609" s="163" t="s">
        <v>220</v>
      </c>
      <c r="E609" s="163" t="s">
        <v>6</v>
      </c>
      <c r="F609" s="167">
        <f t="shared" ref="F609:F611" si="173">F610</f>
        <v>70000</v>
      </c>
    </row>
    <row r="610" spans="1:8" outlineLevel="7">
      <c r="A610" s="164" t="s">
        <v>424</v>
      </c>
      <c r="B610" s="163" t="s">
        <v>540</v>
      </c>
      <c r="C610" s="163" t="s">
        <v>77</v>
      </c>
      <c r="D610" s="163" t="s">
        <v>235</v>
      </c>
      <c r="E610" s="163" t="s">
        <v>6</v>
      </c>
      <c r="F610" s="167">
        <f t="shared" si="173"/>
        <v>70000</v>
      </c>
    </row>
    <row r="611" spans="1:8" ht="23.25" customHeight="1" outlineLevel="7">
      <c r="A611" s="164" t="s">
        <v>15</v>
      </c>
      <c r="B611" s="163" t="s">
        <v>540</v>
      </c>
      <c r="C611" s="163" t="s">
        <v>77</v>
      </c>
      <c r="D611" s="163" t="s">
        <v>235</v>
      </c>
      <c r="E611" s="163" t="s">
        <v>16</v>
      </c>
      <c r="F611" s="167">
        <f t="shared" si="173"/>
        <v>70000</v>
      </c>
    </row>
    <row r="612" spans="1:8" ht="36" outlineLevel="2">
      <c r="A612" s="164" t="s">
        <v>17</v>
      </c>
      <c r="B612" s="163" t="s">
        <v>540</v>
      </c>
      <c r="C612" s="163" t="s">
        <v>77</v>
      </c>
      <c r="D612" s="163" t="s">
        <v>235</v>
      </c>
      <c r="E612" s="163" t="s">
        <v>18</v>
      </c>
      <c r="F612" s="184">
        <v>70000</v>
      </c>
    </row>
    <row r="613" spans="1:8" s="266" customFormat="1" ht="36" outlineLevel="3">
      <c r="A613" s="200" t="s">
        <v>275</v>
      </c>
      <c r="B613" s="163" t="s">
        <v>540</v>
      </c>
      <c r="C613" s="163" t="s">
        <v>77</v>
      </c>
      <c r="D613" s="163" t="s">
        <v>223</v>
      </c>
      <c r="E613" s="163" t="s">
        <v>6</v>
      </c>
      <c r="F613" s="184">
        <f>F614</f>
        <v>1847300</v>
      </c>
      <c r="G613" s="265"/>
      <c r="H613" s="265"/>
    </row>
    <row r="614" spans="1:8" s="266" customFormat="1" ht="72" outlineLevel="3">
      <c r="A614" s="187" t="s">
        <v>403</v>
      </c>
      <c r="B614" s="163" t="s">
        <v>540</v>
      </c>
      <c r="C614" s="163" t="s">
        <v>77</v>
      </c>
      <c r="D614" s="163" t="s">
        <v>152</v>
      </c>
      <c r="E614" s="163" t="s">
        <v>6</v>
      </c>
      <c r="F614" s="167">
        <f t="shared" ref="F614" si="174">F615+F619+F617</f>
        <v>1847300</v>
      </c>
      <c r="G614" s="265"/>
      <c r="H614" s="265"/>
    </row>
    <row r="615" spans="1:8" ht="36" outlineLevel="5">
      <c r="A615" s="164" t="s">
        <v>15</v>
      </c>
      <c r="B615" s="163" t="s">
        <v>540</v>
      </c>
      <c r="C615" s="163" t="s">
        <v>77</v>
      </c>
      <c r="D615" s="163" t="s">
        <v>152</v>
      </c>
      <c r="E615" s="163" t="s">
        <v>16</v>
      </c>
      <c r="F615" s="167">
        <f t="shared" ref="F615" si="175">F616</f>
        <v>2000</v>
      </c>
    </row>
    <row r="616" spans="1:8" ht="36" outlineLevel="6">
      <c r="A616" s="164" t="s">
        <v>17</v>
      </c>
      <c r="B616" s="163" t="s">
        <v>540</v>
      </c>
      <c r="C616" s="163" t="s">
        <v>77</v>
      </c>
      <c r="D616" s="163" t="s">
        <v>152</v>
      </c>
      <c r="E616" s="163" t="s">
        <v>18</v>
      </c>
      <c r="F616" s="184">
        <v>2000</v>
      </c>
    </row>
    <row r="617" spans="1:8" outlineLevel="7">
      <c r="A617" s="164" t="s">
        <v>90</v>
      </c>
      <c r="B617" s="163" t="s">
        <v>540</v>
      </c>
      <c r="C617" s="163" t="s">
        <v>77</v>
      </c>
      <c r="D617" s="163" t="s">
        <v>152</v>
      </c>
      <c r="E617" s="163" t="s">
        <v>91</v>
      </c>
      <c r="F617" s="167">
        <f t="shared" ref="F617" si="176">F618</f>
        <v>320000</v>
      </c>
    </row>
    <row r="618" spans="1:8" ht="36" outlineLevel="6">
      <c r="A618" s="164" t="s">
        <v>97</v>
      </c>
      <c r="B618" s="163" t="s">
        <v>540</v>
      </c>
      <c r="C618" s="163" t="s">
        <v>77</v>
      </c>
      <c r="D618" s="163" t="s">
        <v>152</v>
      </c>
      <c r="E618" s="163" t="s">
        <v>98</v>
      </c>
      <c r="F618" s="184">
        <v>320000</v>
      </c>
    </row>
    <row r="619" spans="1:8" ht="21.15" customHeight="1" outlineLevel="7">
      <c r="A619" s="164" t="s">
        <v>37</v>
      </c>
      <c r="B619" s="163" t="s">
        <v>540</v>
      </c>
      <c r="C619" s="163" t="s">
        <v>77</v>
      </c>
      <c r="D619" s="163" t="s">
        <v>152</v>
      </c>
      <c r="E619" s="163" t="s">
        <v>38</v>
      </c>
      <c r="F619" s="167">
        <f t="shared" ref="F619" si="177">F620</f>
        <v>1525300</v>
      </c>
    </row>
    <row r="620" spans="1:8" outlineLevel="7">
      <c r="A620" s="164" t="s">
        <v>74</v>
      </c>
      <c r="B620" s="163" t="s">
        <v>540</v>
      </c>
      <c r="C620" s="163" t="s">
        <v>77</v>
      </c>
      <c r="D620" s="163" t="s">
        <v>152</v>
      </c>
      <c r="E620" s="163" t="s">
        <v>75</v>
      </c>
      <c r="F620" s="184">
        <v>1525300</v>
      </c>
    </row>
    <row r="621" spans="1:8" outlineLevel="7">
      <c r="A621" s="33" t="s">
        <v>238</v>
      </c>
      <c r="B621" s="163" t="s">
        <v>540</v>
      </c>
      <c r="C621" s="163" t="s">
        <v>77</v>
      </c>
      <c r="D621" s="163" t="s">
        <v>237</v>
      </c>
      <c r="E621" s="163" t="s">
        <v>6</v>
      </c>
      <c r="F621" s="184">
        <f>F622</f>
        <v>125000</v>
      </c>
    </row>
    <row r="622" spans="1:8" outlineLevel="5">
      <c r="A622" s="164" t="s">
        <v>78</v>
      </c>
      <c r="B622" s="163" t="s">
        <v>540</v>
      </c>
      <c r="C622" s="163" t="s">
        <v>77</v>
      </c>
      <c r="D622" s="163" t="s">
        <v>153</v>
      </c>
      <c r="E622" s="163" t="s">
        <v>6</v>
      </c>
      <c r="F622" s="167">
        <f t="shared" ref="F622:F623" si="178">F623</f>
        <v>125000</v>
      </c>
    </row>
    <row r="623" spans="1:8" ht="36" outlineLevel="6">
      <c r="A623" s="164" t="s">
        <v>15</v>
      </c>
      <c r="B623" s="163" t="s">
        <v>540</v>
      </c>
      <c r="C623" s="163" t="s">
        <v>77</v>
      </c>
      <c r="D623" s="163" t="s">
        <v>153</v>
      </c>
      <c r="E623" s="163" t="s">
        <v>16</v>
      </c>
      <c r="F623" s="167">
        <f t="shared" si="178"/>
        <v>125000</v>
      </c>
    </row>
    <row r="624" spans="1:8" ht="36" outlineLevel="7">
      <c r="A624" s="164" t="s">
        <v>17</v>
      </c>
      <c r="B624" s="163" t="s">
        <v>540</v>
      </c>
      <c r="C624" s="163" t="s">
        <v>77</v>
      </c>
      <c r="D624" s="163" t="s">
        <v>153</v>
      </c>
      <c r="E624" s="163" t="s">
        <v>18</v>
      </c>
      <c r="F624" s="184">
        <v>125000</v>
      </c>
    </row>
    <row r="625" spans="1:8" outlineLevel="6">
      <c r="A625" s="164" t="s">
        <v>116</v>
      </c>
      <c r="B625" s="163" t="s">
        <v>540</v>
      </c>
      <c r="C625" s="163" t="s">
        <v>117</v>
      </c>
      <c r="D625" s="163" t="s">
        <v>126</v>
      </c>
      <c r="E625" s="163" t="s">
        <v>6</v>
      </c>
      <c r="F625" s="167">
        <f t="shared" ref="F625:F626" si="179">F626</f>
        <v>21791996</v>
      </c>
    </row>
    <row r="626" spans="1:8" ht="46.5" customHeight="1" outlineLevel="7">
      <c r="A626" s="196" t="s">
        <v>855</v>
      </c>
      <c r="B626" s="197" t="s">
        <v>540</v>
      </c>
      <c r="C626" s="197" t="s">
        <v>117</v>
      </c>
      <c r="D626" s="197" t="s">
        <v>138</v>
      </c>
      <c r="E626" s="197" t="s">
        <v>6</v>
      </c>
      <c r="F626" s="223">
        <f t="shared" si="179"/>
        <v>21791996</v>
      </c>
    </row>
    <row r="627" spans="1:8" ht="36" outlineLevel="6">
      <c r="A627" s="200" t="s">
        <v>209</v>
      </c>
      <c r="B627" s="163" t="s">
        <v>540</v>
      </c>
      <c r="C627" s="163" t="s">
        <v>117</v>
      </c>
      <c r="D627" s="163" t="s">
        <v>226</v>
      </c>
      <c r="E627" s="163" t="s">
        <v>6</v>
      </c>
      <c r="F627" s="171">
        <f>F628+F635+F642</f>
        <v>21791996</v>
      </c>
    </row>
    <row r="628" spans="1:8" ht="39.75" customHeight="1" outlineLevel="7">
      <c r="A628" s="164" t="s">
        <v>498</v>
      </c>
      <c r="B628" s="163" t="s">
        <v>540</v>
      </c>
      <c r="C628" s="163" t="s">
        <v>117</v>
      </c>
      <c r="D628" s="163" t="s">
        <v>539</v>
      </c>
      <c r="E628" s="163" t="s">
        <v>6</v>
      </c>
      <c r="F628" s="167">
        <f t="shared" ref="F628" si="180">F629+F631+F633</f>
        <v>5189242</v>
      </c>
    </row>
    <row r="629" spans="1:8" ht="72" outlineLevel="3">
      <c r="A629" s="164" t="s">
        <v>11</v>
      </c>
      <c r="B629" s="163" t="s">
        <v>540</v>
      </c>
      <c r="C629" s="163" t="s">
        <v>117</v>
      </c>
      <c r="D629" s="163" t="s">
        <v>539</v>
      </c>
      <c r="E629" s="163" t="s">
        <v>12</v>
      </c>
      <c r="F629" s="167">
        <f t="shared" ref="F629" si="181">F630</f>
        <v>5089242</v>
      </c>
    </row>
    <row r="630" spans="1:8" ht="36" outlineLevel="3">
      <c r="A630" s="164" t="s">
        <v>13</v>
      </c>
      <c r="B630" s="163" t="s">
        <v>540</v>
      </c>
      <c r="C630" s="163" t="s">
        <v>117</v>
      </c>
      <c r="D630" s="163" t="s">
        <v>539</v>
      </c>
      <c r="E630" s="163" t="s">
        <v>14</v>
      </c>
      <c r="F630" s="184">
        <f>потребность!I621</f>
        <v>5089242</v>
      </c>
    </row>
    <row r="631" spans="1:8" ht="36" outlineLevel="3">
      <c r="A631" s="164" t="s">
        <v>15</v>
      </c>
      <c r="B631" s="163" t="s">
        <v>540</v>
      </c>
      <c r="C631" s="163" t="s">
        <v>117</v>
      </c>
      <c r="D631" s="163" t="s">
        <v>539</v>
      </c>
      <c r="E631" s="163" t="s">
        <v>16</v>
      </c>
      <c r="F631" s="167">
        <f t="shared" ref="F631" si="182">F632</f>
        <v>100000</v>
      </c>
    </row>
    <row r="632" spans="1:8" s="266" customFormat="1" ht="32.25" customHeight="1" outlineLevel="3">
      <c r="A632" s="164" t="s">
        <v>17</v>
      </c>
      <c r="B632" s="163" t="s">
        <v>540</v>
      </c>
      <c r="C632" s="163" t="s">
        <v>117</v>
      </c>
      <c r="D632" s="163" t="s">
        <v>539</v>
      </c>
      <c r="E632" s="163" t="s">
        <v>18</v>
      </c>
      <c r="F632" s="184">
        <f>потребность!I623</f>
        <v>100000</v>
      </c>
      <c r="G632" s="265"/>
      <c r="H632" s="265"/>
    </row>
    <row r="633" spans="1:8" hidden="1" outlineLevel="3">
      <c r="A633" s="164" t="s">
        <v>19</v>
      </c>
      <c r="B633" s="163" t="s">
        <v>540</v>
      </c>
      <c r="C633" s="163" t="s">
        <v>117</v>
      </c>
      <c r="D633" s="163" t="s">
        <v>539</v>
      </c>
      <c r="E633" s="163" t="s">
        <v>20</v>
      </c>
      <c r="F633" s="218">
        <f>F634</f>
        <v>0</v>
      </c>
    </row>
    <row r="634" spans="1:8" s="266" customFormat="1" hidden="1" outlineLevel="3">
      <c r="A634" s="164" t="s">
        <v>21</v>
      </c>
      <c r="B634" s="163" t="s">
        <v>540</v>
      </c>
      <c r="C634" s="163" t="s">
        <v>117</v>
      </c>
      <c r="D634" s="163" t="s">
        <v>539</v>
      </c>
      <c r="E634" s="163" t="s">
        <v>22</v>
      </c>
      <c r="F634" s="184">
        <v>0</v>
      </c>
      <c r="G634" s="265"/>
      <c r="H634" s="265"/>
    </row>
    <row r="635" spans="1:8" ht="36" outlineLevel="3">
      <c r="A635" s="164" t="s">
        <v>33</v>
      </c>
      <c r="B635" s="163" t="s">
        <v>540</v>
      </c>
      <c r="C635" s="163" t="s">
        <v>117</v>
      </c>
      <c r="D635" s="163" t="s">
        <v>154</v>
      </c>
      <c r="E635" s="163" t="s">
        <v>6</v>
      </c>
      <c r="F635" s="167">
        <f>F636+F638+F640</f>
        <v>14457199</v>
      </c>
    </row>
    <row r="636" spans="1:8" ht="72" outlineLevel="3">
      <c r="A636" s="164" t="s">
        <v>11</v>
      </c>
      <c r="B636" s="163" t="s">
        <v>540</v>
      </c>
      <c r="C636" s="163" t="s">
        <v>117</v>
      </c>
      <c r="D636" s="163" t="s">
        <v>154</v>
      </c>
      <c r="E636" s="163" t="s">
        <v>12</v>
      </c>
      <c r="F636" s="167">
        <f t="shared" ref="F636" si="183">F637</f>
        <v>11574478</v>
      </c>
    </row>
    <row r="637" spans="1:8" outlineLevel="3">
      <c r="A637" s="164" t="s">
        <v>34</v>
      </c>
      <c r="B637" s="163" t="s">
        <v>540</v>
      </c>
      <c r="C637" s="163" t="s">
        <v>117</v>
      </c>
      <c r="D637" s="163" t="s">
        <v>154</v>
      </c>
      <c r="E637" s="163" t="s">
        <v>35</v>
      </c>
      <c r="F637" s="184">
        <f>11638500-64022</f>
        <v>11574478</v>
      </c>
    </row>
    <row r="638" spans="1:8" ht="36" outlineLevel="3">
      <c r="A638" s="164" t="s">
        <v>15</v>
      </c>
      <c r="B638" s="163" t="s">
        <v>540</v>
      </c>
      <c r="C638" s="163" t="s">
        <v>117</v>
      </c>
      <c r="D638" s="163" t="s">
        <v>154</v>
      </c>
      <c r="E638" s="163" t="s">
        <v>16</v>
      </c>
      <c r="F638" s="167">
        <f t="shared" ref="F638" si="184">F639</f>
        <v>2843521</v>
      </c>
    </row>
    <row r="639" spans="1:8" ht="36" outlineLevel="3">
      <c r="A639" s="164" t="s">
        <v>17</v>
      </c>
      <c r="B639" s="163" t="s">
        <v>540</v>
      </c>
      <c r="C639" s="163" t="s">
        <v>117</v>
      </c>
      <c r="D639" s="163" t="s">
        <v>154</v>
      </c>
      <c r="E639" s="163" t="s">
        <v>18</v>
      </c>
      <c r="F639" s="184">
        <f>потребность!I630</f>
        <v>2843521</v>
      </c>
    </row>
    <row r="640" spans="1:8" s="266" customFormat="1" outlineLevel="3">
      <c r="A640" s="164" t="s">
        <v>19</v>
      </c>
      <c r="B640" s="163" t="s">
        <v>540</v>
      </c>
      <c r="C640" s="163" t="s">
        <v>117</v>
      </c>
      <c r="D640" s="163" t="s">
        <v>154</v>
      </c>
      <c r="E640" s="163" t="s">
        <v>20</v>
      </c>
      <c r="F640" s="167">
        <f t="shared" ref="F640" si="185">F641</f>
        <v>39200</v>
      </c>
      <c r="G640" s="265"/>
      <c r="H640" s="265"/>
    </row>
    <row r="641" spans="1:8" outlineLevel="3">
      <c r="A641" s="164" t="s">
        <v>21</v>
      </c>
      <c r="B641" s="163" t="s">
        <v>540</v>
      </c>
      <c r="C641" s="163" t="s">
        <v>117</v>
      </c>
      <c r="D641" s="163" t="s">
        <v>154</v>
      </c>
      <c r="E641" s="163" t="s">
        <v>22</v>
      </c>
      <c r="F641" s="184">
        <v>39200</v>
      </c>
    </row>
    <row r="642" spans="1:8" ht="23.25" customHeight="1" outlineLevel="3">
      <c r="A642" s="33" t="s">
        <v>36</v>
      </c>
      <c r="B642" s="163" t="s">
        <v>540</v>
      </c>
      <c r="C642" s="163" t="s">
        <v>117</v>
      </c>
      <c r="D642" s="163" t="s">
        <v>155</v>
      </c>
      <c r="E642" s="163" t="s">
        <v>6</v>
      </c>
      <c r="F642" s="167">
        <f t="shared" ref="F642:F643" si="186">F643</f>
        <v>2145555</v>
      </c>
    </row>
    <row r="643" spans="1:8" ht="45.75" customHeight="1" outlineLevel="3">
      <c r="A643" s="164" t="s">
        <v>37</v>
      </c>
      <c r="B643" s="163" t="s">
        <v>540</v>
      </c>
      <c r="C643" s="163" t="s">
        <v>117</v>
      </c>
      <c r="D643" s="163" t="s">
        <v>155</v>
      </c>
      <c r="E643" s="163" t="s">
        <v>38</v>
      </c>
      <c r="F643" s="167">
        <f t="shared" si="186"/>
        <v>2145555</v>
      </c>
    </row>
    <row r="644" spans="1:8" ht="22.65" customHeight="1" outlineLevel="3">
      <c r="A644" s="164" t="s">
        <v>39</v>
      </c>
      <c r="B644" s="163" t="s">
        <v>540</v>
      </c>
      <c r="C644" s="163" t="s">
        <v>117</v>
      </c>
      <c r="D644" s="163" t="s">
        <v>155</v>
      </c>
      <c r="E644" s="163" t="s">
        <v>40</v>
      </c>
      <c r="F644" s="184">
        <f>2081533+64022</f>
        <v>2145555</v>
      </c>
    </row>
    <row r="645" spans="1:8" ht="23.25" customHeight="1" outlineLevel="3">
      <c r="A645" s="196" t="s">
        <v>85</v>
      </c>
      <c r="B645" s="197" t="s">
        <v>540</v>
      </c>
      <c r="C645" s="197" t="s">
        <v>86</v>
      </c>
      <c r="D645" s="197" t="s">
        <v>126</v>
      </c>
      <c r="E645" s="197" t="s">
        <v>6</v>
      </c>
      <c r="F645" s="171">
        <f t="shared" ref="F645" si="187">F646+F652</f>
        <v>4489069</v>
      </c>
    </row>
    <row r="646" spans="1:8" outlineLevel="3">
      <c r="A646" s="164" t="s">
        <v>94</v>
      </c>
      <c r="B646" s="163" t="s">
        <v>540</v>
      </c>
      <c r="C646" s="163" t="s">
        <v>95</v>
      </c>
      <c r="D646" s="163" t="s">
        <v>126</v>
      </c>
      <c r="E646" s="163" t="s">
        <v>6</v>
      </c>
      <c r="F646" s="167">
        <f t="shared" ref="F646:F650" si="188">F647</f>
        <v>1310000</v>
      </c>
    </row>
    <row r="647" spans="1:8" ht="36" outlineLevel="3">
      <c r="A647" s="196" t="s">
        <v>853</v>
      </c>
      <c r="B647" s="197" t="s">
        <v>540</v>
      </c>
      <c r="C647" s="197" t="s">
        <v>95</v>
      </c>
      <c r="D647" s="197" t="s">
        <v>138</v>
      </c>
      <c r="E647" s="197" t="s">
        <v>6</v>
      </c>
      <c r="F647" s="171">
        <f t="shared" si="188"/>
        <v>1310000</v>
      </c>
    </row>
    <row r="648" spans="1:8" outlineLevel="3">
      <c r="A648" s="200" t="s">
        <v>752</v>
      </c>
      <c r="B648" s="163" t="s">
        <v>540</v>
      </c>
      <c r="C648" s="163" t="s">
        <v>95</v>
      </c>
      <c r="D648" s="163" t="s">
        <v>750</v>
      </c>
      <c r="E648" s="163" t="s">
        <v>6</v>
      </c>
      <c r="F648" s="167">
        <f t="shared" si="188"/>
        <v>1310000</v>
      </c>
    </row>
    <row r="649" spans="1:8" ht="90" outlineLevel="3">
      <c r="A649" s="187" t="s">
        <v>405</v>
      </c>
      <c r="B649" s="163" t="s">
        <v>540</v>
      </c>
      <c r="C649" s="163" t="s">
        <v>95</v>
      </c>
      <c r="D649" s="163" t="s">
        <v>751</v>
      </c>
      <c r="E649" s="163" t="s">
        <v>6</v>
      </c>
      <c r="F649" s="167">
        <f t="shared" si="188"/>
        <v>1310000</v>
      </c>
    </row>
    <row r="650" spans="1:8" ht="23.25" customHeight="1" outlineLevel="3">
      <c r="A650" s="164" t="s">
        <v>90</v>
      </c>
      <c r="B650" s="163" t="s">
        <v>540</v>
      </c>
      <c r="C650" s="163" t="s">
        <v>95</v>
      </c>
      <c r="D650" s="163" t="s">
        <v>751</v>
      </c>
      <c r="E650" s="163" t="s">
        <v>91</v>
      </c>
      <c r="F650" s="167">
        <f t="shared" si="188"/>
        <v>1310000</v>
      </c>
    </row>
    <row r="651" spans="1:8" ht="36" outlineLevel="3">
      <c r="A651" s="164" t="s">
        <v>97</v>
      </c>
      <c r="B651" s="163" t="s">
        <v>540</v>
      </c>
      <c r="C651" s="163" t="s">
        <v>95</v>
      </c>
      <c r="D651" s="163" t="s">
        <v>751</v>
      </c>
      <c r="E651" s="163" t="s">
        <v>98</v>
      </c>
      <c r="F651" s="184">
        <v>1310000</v>
      </c>
    </row>
    <row r="652" spans="1:8" outlineLevel="3">
      <c r="A652" s="164" t="s">
        <v>123</v>
      </c>
      <c r="B652" s="163" t="s">
        <v>540</v>
      </c>
      <c r="C652" s="163" t="s">
        <v>124</v>
      </c>
      <c r="D652" s="163" t="s">
        <v>126</v>
      </c>
      <c r="E652" s="163" t="s">
        <v>6</v>
      </c>
      <c r="F652" s="167">
        <f t="shared" ref="F652:F655" si="189">F653</f>
        <v>3179069</v>
      </c>
    </row>
    <row r="653" spans="1:8" ht="39.75" customHeight="1" outlineLevel="3">
      <c r="A653" s="196" t="s">
        <v>855</v>
      </c>
      <c r="B653" s="197" t="s">
        <v>540</v>
      </c>
      <c r="C653" s="197" t="s">
        <v>124</v>
      </c>
      <c r="D653" s="197" t="s">
        <v>138</v>
      </c>
      <c r="E653" s="197" t="s">
        <v>6</v>
      </c>
      <c r="F653" s="171">
        <f t="shared" si="189"/>
        <v>3179069</v>
      </c>
    </row>
    <row r="654" spans="1:8" ht="36" outlineLevel="3">
      <c r="A654" s="164" t="s">
        <v>396</v>
      </c>
      <c r="B654" s="163" t="s">
        <v>540</v>
      </c>
      <c r="C654" s="163" t="s">
        <v>124</v>
      </c>
      <c r="D654" s="163" t="s">
        <v>139</v>
      </c>
      <c r="E654" s="163" t="s">
        <v>6</v>
      </c>
      <c r="F654" s="167">
        <f t="shared" si="189"/>
        <v>3179069</v>
      </c>
    </row>
    <row r="655" spans="1:8" ht="24.75" customHeight="1" outlineLevel="3">
      <c r="A655" s="200" t="s">
        <v>204</v>
      </c>
      <c r="B655" s="163" t="s">
        <v>540</v>
      </c>
      <c r="C655" s="163" t="s">
        <v>124</v>
      </c>
      <c r="D655" s="163" t="s">
        <v>234</v>
      </c>
      <c r="E655" s="163" t="s">
        <v>6</v>
      </c>
      <c r="F655" s="167">
        <f t="shared" si="189"/>
        <v>3179069</v>
      </c>
    </row>
    <row r="656" spans="1:8" s="264" customFormat="1" ht="137.25" customHeight="1">
      <c r="A656" s="187" t="s">
        <v>668</v>
      </c>
      <c r="B656" s="163" t="s">
        <v>540</v>
      </c>
      <c r="C656" s="163" t="s">
        <v>124</v>
      </c>
      <c r="D656" s="163" t="s">
        <v>156</v>
      </c>
      <c r="E656" s="163" t="s">
        <v>6</v>
      </c>
      <c r="F656" s="167">
        <f>F659</f>
        <v>3179069</v>
      </c>
      <c r="G656" s="263"/>
      <c r="H656" s="263"/>
    </row>
    <row r="657" spans="1:8" s="264" customFormat="1" ht="36" hidden="1">
      <c r="A657" s="164" t="s">
        <v>15</v>
      </c>
      <c r="B657" s="163" t="s">
        <v>540</v>
      </c>
      <c r="C657" s="163" t="s">
        <v>124</v>
      </c>
      <c r="D657" s="163" t="s">
        <v>156</v>
      </c>
      <c r="E657" s="163" t="s">
        <v>16</v>
      </c>
      <c r="F657" s="167"/>
      <c r="G657" s="263"/>
      <c r="H657" s="263"/>
    </row>
    <row r="658" spans="1:8" s="264" customFormat="1" ht="36" hidden="1">
      <c r="A658" s="164" t="s">
        <v>17</v>
      </c>
      <c r="B658" s="163" t="s">
        <v>540</v>
      </c>
      <c r="C658" s="163" t="s">
        <v>124</v>
      </c>
      <c r="D658" s="163" t="s">
        <v>156</v>
      </c>
      <c r="E658" s="163" t="s">
        <v>18</v>
      </c>
      <c r="F658" s="167"/>
      <c r="G658" s="263"/>
      <c r="H658" s="263"/>
    </row>
    <row r="659" spans="1:8" s="264" customFormat="1">
      <c r="A659" s="164" t="s">
        <v>90</v>
      </c>
      <c r="B659" s="163" t="s">
        <v>540</v>
      </c>
      <c r="C659" s="163" t="s">
        <v>124</v>
      </c>
      <c r="D659" s="163" t="s">
        <v>156</v>
      </c>
      <c r="E659" s="163" t="s">
        <v>91</v>
      </c>
      <c r="F659" s="167">
        <f t="shared" ref="F659" si="190">F660</f>
        <v>3179069</v>
      </c>
      <c r="G659" s="263"/>
      <c r="H659" s="263"/>
    </row>
    <row r="660" spans="1:8" s="264" customFormat="1" ht="39.15" customHeight="1">
      <c r="A660" s="164" t="s">
        <v>97</v>
      </c>
      <c r="B660" s="163" t="s">
        <v>540</v>
      </c>
      <c r="C660" s="163" t="s">
        <v>124</v>
      </c>
      <c r="D660" s="163" t="s">
        <v>156</v>
      </c>
      <c r="E660" s="163" t="s">
        <v>98</v>
      </c>
      <c r="F660" s="184">
        <v>3179069</v>
      </c>
      <c r="G660" s="263"/>
      <c r="H660" s="263"/>
    </row>
    <row r="661" spans="1:8" s="264" customFormat="1" hidden="1">
      <c r="A661" s="196" t="s">
        <v>100</v>
      </c>
      <c r="B661" s="163" t="s">
        <v>540</v>
      </c>
      <c r="C661" s="163" t="s">
        <v>101</v>
      </c>
      <c r="D661" s="197" t="s">
        <v>126</v>
      </c>
      <c r="E661" s="163" t="s">
        <v>6</v>
      </c>
      <c r="F661" s="184">
        <f t="shared" ref="F661:F666" si="191">F662</f>
        <v>0</v>
      </c>
      <c r="G661" s="263"/>
      <c r="H661" s="263"/>
    </row>
    <row r="662" spans="1:8" hidden="1">
      <c r="A662" s="164" t="s">
        <v>301</v>
      </c>
      <c r="B662" s="163" t="s">
        <v>540</v>
      </c>
      <c r="C662" s="163" t="s">
        <v>300</v>
      </c>
      <c r="D662" s="197" t="s">
        <v>126</v>
      </c>
      <c r="E662" s="163" t="s">
        <v>6</v>
      </c>
      <c r="F662" s="184">
        <f t="shared" si="191"/>
        <v>0</v>
      </c>
    </row>
    <row r="663" spans="1:8" ht="44.4" hidden="1" customHeight="1">
      <c r="A663" s="196" t="s">
        <v>377</v>
      </c>
      <c r="B663" s="163" t="s">
        <v>540</v>
      </c>
      <c r="C663" s="163" t="s">
        <v>300</v>
      </c>
      <c r="D663" s="197" t="s">
        <v>200</v>
      </c>
      <c r="E663" s="163" t="s">
        <v>6</v>
      </c>
      <c r="F663" s="184">
        <f t="shared" si="191"/>
        <v>0</v>
      </c>
    </row>
    <row r="664" spans="1:8" ht="36" hidden="1">
      <c r="A664" s="164" t="s">
        <v>213</v>
      </c>
      <c r="B664" s="163" t="s">
        <v>540</v>
      </c>
      <c r="C664" s="163" t="s">
        <v>300</v>
      </c>
      <c r="D664" s="163" t="s">
        <v>685</v>
      </c>
      <c r="E664" s="163" t="s">
        <v>6</v>
      </c>
      <c r="F664" s="184">
        <f t="shared" si="191"/>
        <v>0</v>
      </c>
    </row>
    <row r="665" spans="1:8" hidden="1">
      <c r="A665" s="164" t="s">
        <v>378</v>
      </c>
      <c r="B665" s="163" t="s">
        <v>540</v>
      </c>
      <c r="C665" s="163" t="s">
        <v>300</v>
      </c>
      <c r="D665" s="163" t="s">
        <v>303</v>
      </c>
      <c r="E665" s="163" t="s">
        <v>6</v>
      </c>
      <c r="F665" s="184">
        <f>F666+F669+F672</f>
        <v>0</v>
      </c>
    </row>
    <row r="666" spans="1:8" ht="36" hidden="1">
      <c r="A666" s="164" t="s">
        <v>281</v>
      </c>
      <c r="B666" s="163" t="s">
        <v>540</v>
      </c>
      <c r="C666" s="163" t="s">
        <v>300</v>
      </c>
      <c r="D666" s="163" t="s">
        <v>302</v>
      </c>
      <c r="E666" s="163" t="s">
        <v>6</v>
      </c>
      <c r="F666" s="184">
        <f t="shared" si="191"/>
        <v>0</v>
      </c>
    </row>
    <row r="667" spans="1:8" ht="36" hidden="1">
      <c r="A667" s="164" t="s">
        <v>37</v>
      </c>
      <c r="B667" s="163" t="s">
        <v>540</v>
      </c>
      <c r="C667" s="163" t="s">
        <v>300</v>
      </c>
      <c r="D667" s="163" t="s">
        <v>302</v>
      </c>
      <c r="E667" s="163" t="s">
        <v>38</v>
      </c>
      <c r="F667" s="184">
        <f>F668</f>
        <v>0</v>
      </c>
    </row>
    <row r="668" spans="1:8" ht="18" hidden="1" customHeight="1">
      <c r="A668" s="164" t="s">
        <v>74</v>
      </c>
      <c r="B668" s="163" t="s">
        <v>540</v>
      </c>
      <c r="C668" s="163" t="s">
        <v>300</v>
      </c>
      <c r="D668" s="163" t="s">
        <v>302</v>
      </c>
      <c r="E668" s="163" t="s">
        <v>75</v>
      </c>
      <c r="F668" s="184">
        <f>потребность!I659</f>
        <v>0</v>
      </c>
    </row>
    <row r="669" spans="1:8" ht="54" hidden="1">
      <c r="A669" s="164" t="s">
        <v>778</v>
      </c>
      <c r="B669" s="163" t="s">
        <v>540</v>
      </c>
      <c r="C669" s="163" t="s">
        <v>300</v>
      </c>
      <c r="D669" s="163" t="s">
        <v>779</v>
      </c>
      <c r="E669" s="163" t="s">
        <v>6</v>
      </c>
      <c r="F669" s="111">
        <f t="shared" ref="F669:F670" si="192">F670</f>
        <v>0</v>
      </c>
    </row>
    <row r="670" spans="1:8" ht="36" hidden="1">
      <c r="A670" s="164" t="s">
        <v>37</v>
      </c>
      <c r="B670" s="163" t="s">
        <v>540</v>
      </c>
      <c r="C670" s="163" t="s">
        <v>300</v>
      </c>
      <c r="D670" s="163" t="s">
        <v>779</v>
      </c>
      <c r="E670" s="163" t="s">
        <v>38</v>
      </c>
      <c r="F670" s="111">
        <f t="shared" si="192"/>
        <v>0</v>
      </c>
    </row>
    <row r="671" spans="1:8" hidden="1">
      <c r="A671" s="164" t="s">
        <v>74</v>
      </c>
      <c r="B671" s="163" t="s">
        <v>540</v>
      </c>
      <c r="C671" s="163" t="s">
        <v>300</v>
      </c>
      <c r="D671" s="163" t="s">
        <v>779</v>
      </c>
      <c r="E671" s="163" t="s">
        <v>75</v>
      </c>
      <c r="F671" s="184">
        <v>0</v>
      </c>
    </row>
    <row r="672" spans="1:8" ht="54" hidden="1">
      <c r="A672" s="164" t="s">
        <v>791</v>
      </c>
      <c r="B672" s="163" t="s">
        <v>540</v>
      </c>
      <c r="C672" s="163" t="s">
        <v>300</v>
      </c>
      <c r="D672" s="163" t="s">
        <v>790</v>
      </c>
      <c r="E672" s="163" t="s">
        <v>6</v>
      </c>
      <c r="F672" s="184">
        <f>F673</f>
        <v>0</v>
      </c>
    </row>
    <row r="673" spans="1:6" ht="36" hidden="1">
      <c r="A673" s="164" t="s">
        <v>37</v>
      </c>
      <c r="B673" s="163" t="s">
        <v>540</v>
      </c>
      <c r="C673" s="163" t="s">
        <v>300</v>
      </c>
      <c r="D673" s="163" t="s">
        <v>790</v>
      </c>
      <c r="E673" s="163" t="s">
        <v>38</v>
      </c>
      <c r="F673" s="184">
        <f>F674</f>
        <v>0</v>
      </c>
    </row>
    <row r="674" spans="1:6" hidden="1">
      <c r="A674" s="164" t="s">
        <v>74</v>
      </c>
      <c r="B674" s="163" t="s">
        <v>540</v>
      </c>
      <c r="C674" s="163" t="s">
        <v>300</v>
      </c>
      <c r="D674" s="163" t="s">
        <v>790</v>
      </c>
      <c r="E674" s="163" t="s">
        <v>75</v>
      </c>
      <c r="F674" s="184">
        <v>0</v>
      </c>
    </row>
    <row r="675" spans="1:6" ht="34.799999999999997">
      <c r="A675" s="269" t="s">
        <v>764</v>
      </c>
      <c r="B675" s="226">
        <v>959</v>
      </c>
      <c r="C675" s="227" t="s">
        <v>5</v>
      </c>
      <c r="D675" s="227" t="s">
        <v>126</v>
      </c>
      <c r="E675" s="227" t="s">
        <v>6</v>
      </c>
      <c r="F675" s="228">
        <f t="shared" ref="F675:F677" si="193">F676</f>
        <v>1420000</v>
      </c>
    </row>
    <row r="676" spans="1:6">
      <c r="A676" s="164" t="s">
        <v>7</v>
      </c>
      <c r="B676" s="163" t="s">
        <v>765</v>
      </c>
      <c r="C676" s="163" t="s">
        <v>8</v>
      </c>
      <c r="D676" s="163" t="s">
        <v>126</v>
      </c>
      <c r="E676" s="163" t="s">
        <v>6</v>
      </c>
      <c r="F676" s="218">
        <f t="shared" si="193"/>
        <v>1420000</v>
      </c>
    </row>
    <row r="677" spans="1:6" ht="36">
      <c r="A677" s="164" t="s">
        <v>9</v>
      </c>
      <c r="B677" s="163" t="s">
        <v>765</v>
      </c>
      <c r="C677" s="163" t="s">
        <v>10</v>
      </c>
      <c r="D677" s="163" t="s">
        <v>126</v>
      </c>
      <c r="E677" s="163" t="s">
        <v>6</v>
      </c>
      <c r="F677" s="167">
        <f t="shared" si="193"/>
        <v>1420000</v>
      </c>
    </row>
    <row r="678" spans="1:6" ht="36">
      <c r="A678" s="164" t="s">
        <v>132</v>
      </c>
      <c r="B678" s="163" t="s">
        <v>765</v>
      </c>
      <c r="C678" s="163" t="s">
        <v>10</v>
      </c>
      <c r="D678" s="163" t="s">
        <v>127</v>
      </c>
      <c r="E678" s="163" t="s">
        <v>6</v>
      </c>
      <c r="F678" s="167">
        <f t="shared" ref="F678" si="194">F679+F682</f>
        <v>1420000</v>
      </c>
    </row>
    <row r="679" spans="1:6">
      <c r="A679" s="164" t="s">
        <v>766</v>
      </c>
      <c r="B679" s="163" t="s">
        <v>765</v>
      </c>
      <c r="C679" s="163" t="s">
        <v>10</v>
      </c>
      <c r="D679" s="163" t="s">
        <v>143</v>
      </c>
      <c r="E679" s="163" t="s">
        <v>6</v>
      </c>
      <c r="F679" s="167">
        <f t="shared" ref="F679:F680" si="195">F680</f>
        <v>1140000</v>
      </c>
    </row>
    <row r="680" spans="1:6" ht="72">
      <c r="A680" s="164" t="s">
        <v>11</v>
      </c>
      <c r="B680" s="163" t="s">
        <v>765</v>
      </c>
      <c r="C680" s="163" t="s">
        <v>10</v>
      </c>
      <c r="D680" s="163" t="s">
        <v>143</v>
      </c>
      <c r="E680" s="163" t="s">
        <v>12</v>
      </c>
      <c r="F680" s="167">
        <f t="shared" si="195"/>
        <v>1140000</v>
      </c>
    </row>
    <row r="681" spans="1:6" ht="36">
      <c r="A681" s="164" t="s">
        <v>13</v>
      </c>
      <c r="B681" s="163" t="s">
        <v>765</v>
      </c>
      <c r="C681" s="163" t="s">
        <v>10</v>
      </c>
      <c r="D681" s="163" t="s">
        <v>143</v>
      </c>
      <c r="E681" s="163" t="s">
        <v>14</v>
      </c>
      <c r="F681" s="184">
        <f>потребность!I672</f>
        <v>1140000</v>
      </c>
    </row>
    <row r="682" spans="1:6" ht="45.75" customHeight="1">
      <c r="A682" s="164" t="s">
        <v>498</v>
      </c>
      <c r="B682" s="163" t="s">
        <v>765</v>
      </c>
      <c r="C682" s="163" t="s">
        <v>10</v>
      </c>
      <c r="D682" s="163" t="s">
        <v>499</v>
      </c>
      <c r="E682" s="163" t="s">
        <v>6</v>
      </c>
      <c r="F682" s="184">
        <f t="shared" ref="F682" si="196">F683+F685</f>
        <v>280000</v>
      </c>
    </row>
    <row r="683" spans="1:6" ht="72">
      <c r="A683" s="164" t="s">
        <v>11</v>
      </c>
      <c r="B683" s="163" t="s">
        <v>765</v>
      </c>
      <c r="C683" s="163" t="s">
        <v>10</v>
      </c>
      <c r="D683" s="163" t="s">
        <v>499</v>
      </c>
      <c r="E683" s="163" t="s">
        <v>12</v>
      </c>
      <c r="F683" s="184">
        <f t="shared" ref="F683" si="197">F684</f>
        <v>200000</v>
      </c>
    </row>
    <row r="684" spans="1:6" ht="36">
      <c r="A684" s="164" t="s">
        <v>13</v>
      </c>
      <c r="B684" s="163" t="s">
        <v>765</v>
      </c>
      <c r="C684" s="163" t="s">
        <v>10</v>
      </c>
      <c r="D684" s="163" t="s">
        <v>499</v>
      </c>
      <c r="E684" s="163" t="s">
        <v>14</v>
      </c>
      <c r="F684" s="184">
        <f>потребность!I675</f>
        <v>200000</v>
      </c>
    </row>
    <row r="685" spans="1:6" ht="36">
      <c r="A685" s="164" t="s">
        <v>15</v>
      </c>
      <c r="B685" s="163" t="s">
        <v>765</v>
      </c>
      <c r="C685" s="163" t="s">
        <v>10</v>
      </c>
      <c r="D685" s="163" t="s">
        <v>499</v>
      </c>
      <c r="E685" s="163" t="s">
        <v>16</v>
      </c>
      <c r="F685" s="184">
        <f t="shared" ref="F685" si="198">F686</f>
        <v>80000</v>
      </c>
    </row>
    <row r="686" spans="1:6" ht="36">
      <c r="A686" s="164" t="s">
        <v>17</v>
      </c>
      <c r="B686" s="163" t="s">
        <v>765</v>
      </c>
      <c r="C686" s="163" t="s">
        <v>10</v>
      </c>
      <c r="D686" s="163" t="s">
        <v>499</v>
      </c>
      <c r="E686" s="163" t="s">
        <v>18</v>
      </c>
      <c r="F686" s="184">
        <f>потребность!I677</f>
        <v>80000</v>
      </c>
    </row>
    <row r="687" spans="1:6">
      <c r="A687" s="270" t="s">
        <v>788</v>
      </c>
      <c r="B687" s="271"/>
      <c r="C687" s="271"/>
      <c r="D687" s="272"/>
      <c r="E687" s="271"/>
      <c r="F687" s="215">
        <f>F14+F36+F466+F505+F675</f>
        <v>960335486.42000008</v>
      </c>
    </row>
    <row r="688" spans="1:6">
      <c r="D688" s="273"/>
      <c r="F688" s="274"/>
    </row>
    <row r="689" spans="1:6">
      <c r="D689" s="279" t="s">
        <v>906</v>
      </c>
      <c r="F689" s="274">
        <f>'прил 7'!C14+'прил 7'!C43</f>
        <v>944271106.1400001</v>
      </c>
    </row>
    <row r="690" spans="1:6">
      <c r="D690" s="273"/>
      <c r="F690" s="278">
        <f>F689-F687</f>
        <v>-16064380.279999971</v>
      </c>
    </row>
    <row r="691" spans="1:6">
      <c r="D691" s="273"/>
      <c r="F691" s="278">
        <f>'прил 7'!C70-F687</f>
        <v>-16064380.279999971</v>
      </c>
    </row>
    <row r="692" spans="1:6">
      <c r="C692" s="272" t="s">
        <v>8</v>
      </c>
      <c r="D692" s="273"/>
      <c r="F692" s="274">
        <f>F15+F37++F467+F676</f>
        <v>115047668.33000001</v>
      </c>
    </row>
    <row r="693" spans="1:6">
      <c r="C693" s="272" t="s">
        <v>26</v>
      </c>
      <c r="D693" s="273"/>
      <c r="F693" s="274">
        <f>F159</f>
        <v>1626656</v>
      </c>
    </row>
    <row r="694" spans="1:6">
      <c r="C694" s="272" t="s">
        <v>42</v>
      </c>
      <c r="D694" s="273"/>
      <c r="F694" s="274">
        <f>F169</f>
        <v>991747.04</v>
      </c>
    </row>
    <row r="695" spans="1:6">
      <c r="C695" s="272" t="s">
        <v>46</v>
      </c>
      <c r="D695" s="273"/>
      <c r="F695" s="274">
        <f>F180</f>
        <v>37422264.170000002</v>
      </c>
    </row>
    <row r="696" spans="1:6">
      <c r="C696" s="272" t="s">
        <v>55</v>
      </c>
      <c r="D696" s="273"/>
      <c r="F696" s="274">
        <f>F225</f>
        <v>98805578.430000007</v>
      </c>
    </row>
    <row r="697" spans="1:6">
      <c r="C697" s="272" t="s">
        <v>65</v>
      </c>
      <c r="D697" s="273"/>
      <c r="F697" s="274">
        <f>F327</f>
        <v>515000</v>
      </c>
    </row>
    <row r="698" spans="1:6">
      <c r="C698" s="272" t="s">
        <v>70</v>
      </c>
      <c r="D698" s="273"/>
      <c r="F698" s="274">
        <f>F343+F506</f>
        <v>604183596.35000002</v>
      </c>
    </row>
    <row r="699" spans="1:6">
      <c r="C699" s="272" t="s">
        <v>80</v>
      </c>
      <c r="D699" s="273"/>
      <c r="F699" s="275">
        <f>F357</f>
        <v>37025426.940000005</v>
      </c>
    </row>
    <row r="700" spans="1:6">
      <c r="C700" s="272" t="s">
        <v>86</v>
      </c>
      <c r="D700" s="273"/>
      <c r="F700" s="276">
        <f>F396+F645</f>
        <v>59206989.169999994</v>
      </c>
    </row>
    <row r="701" spans="1:6">
      <c r="C701" s="272" t="s">
        <v>101</v>
      </c>
      <c r="D701" s="273"/>
      <c r="F701" s="274">
        <f>F435+F661</f>
        <v>2763559.99</v>
      </c>
    </row>
    <row r="702" spans="1:6">
      <c r="C702" s="272" t="s">
        <v>104</v>
      </c>
      <c r="F702" s="275">
        <f>F459</f>
        <v>2747000</v>
      </c>
    </row>
    <row r="703" spans="1:6">
      <c r="A703" s="341"/>
      <c r="F703" s="280">
        <f>SUBTOTAL(9,F692:F702)</f>
        <v>960335486.42000008</v>
      </c>
    </row>
    <row r="705" spans="4:7">
      <c r="D705" s="272" t="s">
        <v>907</v>
      </c>
      <c r="F705" s="275">
        <f>F508+F544+F584+F607+F626+F647+F653</f>
        <v>590381202.76999998</v>
      </c>
    </row>
    <row r="706" spans="4:7">
      <c r="D706" s="272" t="s">
        <v>908</v>
      </c>
      <c r="F706" s="277">
        <f>F345+F359+F383</f>
        <v>52813523.520000003</v>
      </c>
      <c r="G706" s="274"/>
    </row>
    <row r="707" spans="4:7">
      <c r="D707" s="272" t="s">
        <v>909</v>
      </c>
      <c r="F707" s="277">
        <f>F329</f>
        <v>470000</v>
      </c>
      <c r="G707" s="274"/>
    </row>
    <row r="708" spans="4:7">
      <c r="D708" s="272" t="s">
        <v>910</v>
      </c>
      <c r="F708" s="275">
        <f>F437+F663</f>
        <v>2713559.99</v>
      </c>
    </row>
    <row r="709" spans="4:7">
      <c r="D709" s="272" t="s">
        <v>911</v>
      </c>
      <c r="F709" s="275">
        <f>F403</f>
        <v>150000</v>
      </c>
    </row>
    <row r="710" spans="4:7">
      <c r="D710" s="272" t="s">
        <v>912</v>
      </c>
      <c r="F710" s="275">
        <f>F26+F67+F489</f>
        <v>23139455</v>
      </c>
    </row>
    <row r="711" spans="4:7">
      <c r="D711" s="272" t="s">
        <v>913</v>
      </c>
      <c r="F711" s="275">
        <f>F238+F270+F319</f>
        <v>63741662.949999996</v>
      </c>
    </row>
    <row r="712" spans="4:7">
      <c r="D712" s="272" t="s">
        <v>914</v>
      </c>
      <c r="F712" s="275">
        <f>F92</f>
        <v>50000</v>
      </c>
    </row>
    <row r="713" spans="4:7">
      <c r="D713" s="272" t="s">
        <v>915</v>
      </c>
      <c r="F713" s="275">
        <f>F211</f>
        <v>100000</v>
      </c>
    </row>
    <row r="714" spans="4:7">
      <c r="D714" s="272" t="s">
        <v>916</v>
      </c>
      <c r="F714" s="275">
        <f>F408</f>
        <v>742359.04000000004</v>
      </c>
    </row>
    <row r="715" spans="4:7">
      <c r="D715" s="272" t="s">
        <v>917</v>
      </c>
      <c r="F715" s="275">
        <f>F31+F97+F461</f>
        <v>4560714</v>
      </c>
    </row>
    <row r="716" spans="4:7">
      <c r="D716" s="272" t="s">
        <v>918</v>
      </c>
      <c r="F716" s="275">
        <f>F199</f>
        <v>36551150</v>
      </c>
    </row>
    <row r="717" spans="4:7">
      <c r="D717" s="272" t="s">
        <v>919</v>
      </c>
      <c r="F717" s="275">
        <f>F338</f>
        <v>45000</v>
      </c>
    </row>
    <row r="718" spans="4:7">
      <c r="D718" s="272" t="s">
        <v>920</v>
      </c>
      <c r="F718" s="275">
        <f>F216</f>
        <v>343600</v>
      </c>
    </row>
    <row r="719" spans="4:7">
      <c r="D719" s="272" t="s">
        <v>921</v>
      </c>
      <c r="F719" s="275">
        <f>F105+F227</f>
        <v>4100000</v>
      </c>
    </row>
    <row r="720" spans="4:7">
      <c r="D720" s="272" t="s">
        <v>926</v>
      </c>
      <c r="F720" s="275">
        <f>F193</f>
        <v>100000</v>
      </c>
    </row>
    <row r="721" spans="1:6">
      <c r="D721" s="272" t="s">
        <v>922</v>
      </c>
      <c r="F721" s="275">
        <f>F454</f>
        <v>50000</v>
      </c>
    </row>
    <row r="722" spans="1:6">
      <c r="D722" s="272" t="s">
        <v>923</v>
      </c>
      <c r="F722" s="275">
        <f>F281</f>
        <v>10857606.060000001</v>
      </c>
    </row>
    <row r="723" spans="1:6">
      <c r="D723" s="272" t="s">
        <v>924</v>
      </c>
      <c r="F723" s="275">
        <f>F295</f>
        <v>22706309.420000002</v>
      </c>
    </row>
    <row r="724" spans="1:6">
      <c r="D724" s="272" t="s">
        <v>925</v>
      </c>
      <c r="F724" s="275">
        <f>F17+F39+F44+F51+F57+F62+F112+F161+F171+F176+F182+F188+F232+F398+F413+F418+F469+F484+F494+F495+F496-F496+F678</f>
        <v>144319977.66999999</v>
      </c>
    </row>
    <row r="725" spans="1:6">
      <c r="F725" s="280">
        <f>SUBTOTAL(9,F705:F724)</f>
        <v>957936120.41999984</v>
      </c>
    </row>
    <row r="726" spans="1:6">
      <c r="B726" s="14" t="s">
        <v>927</v>
      </c>
      <c r="F726" s="280">
        <f>F401+F422+F427</f>
        <v>25183520.399999999</v>
      </c>
    </row>
    <row r="728" spans="1:6">
      <c r="B728" s="14" t="s">
        <v>795</v>
      </c>
      <c r="F728" s="275">
        <f>F682+F628+F500+F485+F473+F113+F45+F18</f>
        <v>72305521.849999994</v>
      </c>
    </row>
    <row r="729" spans="1:6">
      <c r="A729" s="281" t="s">
        <v>796</v>
      </c>
      <c r="C729" s="14">
        <v>24.46</v>
      </c>
      <c r="F729" s="275">
        <f>'прил 7'!C14*24.46%</f>
        <v>103224778.93583401</v>
      </c>
    </row>
  </sheetData>
  <mergeCells count="7">
    <mergeCell ref="A9:F9"/>
    <mergeCell ref="A10:F10"/>
    <mergeCell ref="A11:F11"/>
    <mergeCell ref="D1:F1"/>
    <mergeCell ref="D4:F4"/>
    <mergeCell ref="C3:F3"/>
    <mergeCell ref="B2:F2"/>
  </mergeCells>
  <pageMargins left="1.1811023622047243" right="0.39370078740157483" top="0.39370078740157483" bottom="0.39370078740157483" header="0.31496062992125984" footer="0.31496062992125984"/>
  <pageSetup paperSize="9" scale="62" orientation="portrait" r:id="rId1"/>
  <rowBreaks count="2" manualBreakCount="2">
    <brk id="333" max="5" man="1"/>
    <brk id="5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12</vt:i4>
      </vt:variant>
    </vt:vector>
  </HeadingPairs>
  <TitlesOfParts>
    <vt:vector size="28" baseType="lpstr">
      <vt:lpstr>прил 1</vt:lpstr>
      <vt:lpstr>прил 2 </vt:lpstr>
      <vt:lpstr>прил 6</vt:lpstr>
      <vt:lpstr>прил 7</vt:lpstr>
      <vt:lpstr>прил 7  динамика</vt:lpstr>
      <vt:lpstr>прил 8</vt:lpstr>
      <vt:lpstr>прил 9 </vt:lpstr>
      <vt:lpstr>прил 10 </vt:lpstr>
      <vt:lpstr>прил 11 </vt:lpstr>
      <vt:lpstr>потребность</vt:lpstr>
      <vt:lpstr>прил 12</vt:lpstr>
      <vt:lpstr>прил 13 </vt:lpstr>
      <vt:lpstr>прил 14 </vt:lpstr>
      <vt:lpstr>прил 15</vt:lpstr>
      <vt:lpstr>прил 16 </vt:lpstr>
      <vt:lpstr>Лист1</vt:lpstr>
      <vt:lpstr>потребность!Область_печати</vt:lpstr>
      <vt:lpstr>'прил 10 '!Область_печати</vt:lpstr>
      <vt:lpstr>'прил 11 '!Область_печати</vt:lpstr>
      <vt:lpstr>'прил 12'!Область_печати</vt:lpstr>
      <vt:lpstr>'прил 13 '!Область_печати</vt:lpstr>
      <vt:lpstr>'прил 14 '!Область_печати</vt:lpstr>
      <vt:lpstr>'прил 15'!Область_печати</vt:lpstr>
      <vt:lpstr>'прил 16 '!Область_печати</vt:lpstr>
      <vt:lpstr>'прил 2 '!Область_печати</vt:lpstr>
      <vt:lpstr>'прил 7'!Область_печати</vt:lpstr>
      <vt:lpstr>'прил 7  динамика'!Область_печати</vt:lpstr>
      <vt:lpstr>'прил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2022-01-27T00:00:58Z</dcterms:modified>
</cp:coreProperties>
</file>